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3"/>
  <workbookPr codeName="ThisWorkbook"/>
  <mc:AlternateContent xmlns:mc="http://schemas.openxmlformats.org/markup-compatibility/2006">
    <mc:Choice Requires="x15">
      <x15ac:absPath xmlns:x15ac="http://schemas.microsoft.com/office/spreadsheetml/2010/11/ac" url="/Jobs/Canon/32417, ROI-Tool PRO_TA/"/>
    </mc:Choice>
  </mc:AlternateContent>
  <xr:revisionPtr revIDLastSave="0" documentId="13_ncr:1_{8C370DC2-A145-F247-A0BD-1B52F78578F6}" xr6:coauthVersionLast="45" xr6:coauthVersionMax="45" xr10:uidLastSave="{00000000-0000-0000-0000-000000000000}"/>
  <workbookProtection lockStructure="1"/>
  <bookViews>
    <workbookView xWindow="7200" yWindow="1400" windowWidth="32660" windowHeight="18680" tabRatio="745" xr2:uid="{00000000-000D-0000-FFFF-FFFF00000000}"/>
  </bookViews>
  <sheets>
    <sheet name="Input" sheetId="16" r:id="rId1"/>
    <sheet name="Result" sheetId="17" r:id="rId2"/>
    <sheet name="Table" sheetId="12" state="hidden" r:id="rId3"/>
    <sheet name="backdata" sheetId="10" state="hidden" r:id="rId4"/>
    <sheet name="images" sheetId="19" state="hidden" r:id="rId5"/>
    <sheet name="monthly" sheetId="18" state="hidden" r:id="rId6"/>
    <sheet name="Launguage" sheetId="23" state="hidden" r:id="rId7"/>
    <sheet name="Update history" sheetId="20" state="hidden" r:id="rId8"/>
  </sheets>
  <definedNames>
    <definedName name="Cottage">images!$B$2</definedName>
    <definedName name="_xlnm.Print_Area" localSheetId="0">Input!$A$1:$N$32</definedName>
    <definedName name="_xlnm.Print_Area" localSheetId="6">Launguage!$A$1:$J$121</definedName>
    <definedName name="_xlnm.Print_Area" localSheetId="1">Result!$A$1:$AD$80</definedName>
    <definedName name="_xlnm.Print_Area" localSheetId="7">'Update history'!$A$1:$F$14</definedName>
    <definedName name="_xlnm.Print_Titles" localSheetId="6">Launguage!$1:$2</definedName>
    <definedName name="No.5">images!$B$1</definedName>
    <definedName name="Picture1">INDIRECT(RefPic)</definedName>
    <definedName name="ProductCottage">Table!$S$2:$S$10</definedName>
    <definedName name="ProductCottage_A0">Table!$S$22:$S$26</definedName>
    <definedName name="ProductNo.5">Table!$R$2:$R$11</definedName>
    <definedName name="ProductNo.5_A0">Table!$R$22:$R$27</definedName>
    <definedName name="RefGroesse">Input!$D$7</definedName>
    <definedName name="RefGroesseWahl">Input!$L$11</definedName>
    <definedName name="RefPic">images!$F$1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6" l="1"/>
  <c r="Q40" i="10" l="1"/>
  <c r="Q32" i="10"/>
  <c r="C102" i="23" l="1"/>
  <c r="F5" i="12" s="1"/>
  <c r="C24" i="16" l="1"/>
  <c r="C107" i="23" l="1"/>
  <c r="F14" i="12" s="1"/>
  <c r="C106" i="23"/>
  <c r="F13" i="12" s="1"/>
  <c r="F72" i="10"/>
  <c r="E72" i="10"/>
  <c r="F71" i="10"/>
  <c r="E71" i="10"/>
  <c r="F62" i="10"/>
  <c r="E62" i="10"/>
  <c r="F61" i="10"/>
  <c r="E61" i="10"/>
  <c r="F54" i="10"/>
  <c r="E54" i="10"/>
  <c r="F42" i="10"/>
  <c r="E42" i="10"/>
  <c r="F40" i="10"/>
  <c r="E40" i="10"/>
  <c r="F38" i="10"/>
  <c r="E38" i="10"/>
  <c r="F34" i="10"/>
  <c r="E34" i="10"/>
  <c r="F30" i="10"/>
  <c r="E30" i="10"/>
  <c r="F27" i="10"/>
  <c r="E27" i="10"/>
  <c r="F26" i="10"/>
  <c r="E26" i="10"/>
  <c r="F20" i="10"/>
  <c r="E20" i="10"/>
  <c r="F17" i="10"/>
  <c r="E17" i="10"/>
  <c r="F15" i="10"/>
  <c r="E15" i="10"/>
  <c r="F12" i="10"/>
  <c r="E12" i="10"/>
  <c r="F10" i="10"/>
  <c r="E10" i="10"/>
  <c r="F8" i="10"/>
  <c r="E8" i="10"/>
  <c r="E7" i="10"/>
  <c r="F7" i="10"/>
  <c r="F4" i="10"/>
  <c r="E4" i="10"/>
  <c r="F44" i="10"/>
  <c r="E44" i="10"/>
  <c r="F41" i="10"/>
  <c r="E41" i="10"/>
  <c r="F37" i="10"/>
  <c r="E37" i="10"/>
  <c r="F36" i="10"/>
  <c r="E36" i="10"/>
  <c r="F32" i="10"/>
  <c r="E32" i="10"/>
  <c r="G4" i="10" l="1"/>
  <c r="H4" i="10"/>
  <c r="I4" i="10"/>
  <c r="J4" i="10"/>
  <c r="K4" i="10"/>
  <c r="L4" i="10"/>
  <c r="M4" i="10"/>
  <c r="N4" i="10"/>
  <c r="O4" i="10"/>
  <c r="P4" i="10"/>
  <c r="Q4" i="10"/>
  <c r="G7" i="10"/>
  <c r="H7" i="10"/>
  <c r="I7" i="10"/>
  <c r="J7" i="10"/>
  <c r="K7" i="10"/>
  <c r="K9" i="10" s="1"/>
  <c r="L7" i="10"/>
  <c r="M7" i="10"/>
  <c r="N7" i="10"/>
  <c r="O7" i="10"/>
  <c r="P7" i="10"/>
  <c r="Q7" i="10"/>
  <c r="G8" i="10"/>
  <c r="H8" i="10"/>
  <c r="I8" i="10"/>
  <c r="J8" i="10"/>
  <c r="K8" i="10"/>
  <c r="L8" i="10"/>
  <c r="M8" i="10"/>
  <c r="N8" i="10"/>
  <c r="O8" i="10"/>
  <c r="P8" i="10"/>
  <c r="Q8" i="10"/>
  <c r="G10" i="10"/>
  <c r="H10" i="10"/>
  <c r="I10" i="10"/>
  <c r="J10" i="10"/>
  <c r="K10" i="10"/>
  <c r="L10" i="10"/>
  <c r="M10" i="10"/>
  <c r="N10" i="10"/>
  <c r="O10" i="10"/>
  <c r="P10" i="10"/>
  <c r="Q10" i="10"/>
  <c r="G12" i="10"/>
  <c r="H12" i="10"/>
  <c r="I12" i="10"/>
  <c r="J12" i="10"/>
  <c r="K12" i="10"/>
  <c r="L12" i="10"/>
  <c r="M12" i="10"/>
  <c r="N12" i="10"/>
  <c r="O12" i="10"/>
  <c r="P12" i="10"/>
  <c r="Q12" i="10"/>
  <c r="G15" i="10"/>
  <c r="H15" i="10"/>
  <c r="I15" i="10"/>
  <c r="J15" i="10"/>
  <c r="K15" i="10"/>
  <c r="L15" i="10"/>
  <c r="M15" i="10"/>
  <c r="N15" i="10"/>
  <c r="O15" i="10"/>
  <c r="P15" i="10"/>
  <c r="Q15" i="10"/>
  <c r="G17" i="10"/>
  <c r="G19" i="10" s="1"/>
  <c r="H17" i="10"/>
  <c r="H19" i="10" s="1"/>
  <c r="I17" i="10"/>
  <c r="I19" i="10" s="1"/>
  <c r="J17" i="10"/>
  <c r="K17" i="10"/>
  <c r="K19" i="10" s="1"/>
  <c r="L17" i="10"/>
  <c r="L19" i="10" s="1"/>
  <c r="M17" i="10"/>
  <c r="M19" i="10" s="1"/>
  <c r="N17" i="10"/>
  <c r="N19" i="10" s="1"/>
  <c r="O17" i="10"/>
  <c r="O19" i="10" s="1"/>
  <c r="P17" i="10"/>
  <c r="P19" i="10" s="1"/>
  <c r="Q17" i="10"/>
  <c r="Q19" i="10" s="1"/>
  <c r="J19" i="10"/>
  <c r="G20" i="10"/>
  <c r="G22" i="10" s="1"/>
  <c r="H20" i="10"/>
  <c r="H22" i="10" s="1"/>
  <c r="I20" i="10"/>
  <c r="I22" i="10" s="1"/>
  <c r="J20" i="10"/>
  <c r="J22" i="10" s="1"/>
  <c r="K20" i="10"/>
  <c r="K22" i="10" s="1"/>
  <c r="L20" i="10"/>
  <c r="L22" i="10" s="1"/>
  <c r="M20" i="10"/>
  <c r="M22" i="10" s="1"/>
  <c r="N20" i="10"/>
  <c r="N22" i="10" s="1"/>
  <c r="O20" i="10"/>
  <c r="O22" i="10" s="1"/>
  <c r="P20" i="10"/>
  <c r="P22" i="10" s="1"/>
  <c r="Q20" i="10"/>
  <c r="Q22" i="10" s="1"/>
  <c r="G26" i="10"/>
  <c r="H26" i="10"/>
  <c r="I26" i="10"/>
  <c r="J26" i="10"/>
  <c r="K26" i="10"/>
  <c r="L26" i="10"/>
  <c r="M26" i="10"/>
  <c r="N26" i="10"/>
  <c r="O26" i="10"/>
  <c r="P26" i="10"/>
  <c r="Q26" i="10"/>
  <c r="G27" i="10"/>
  <c r="H27" i="10"/>
  <c r="I27" i="10"/>
  <c r="J27" i="10"/>
  <c r="K27" i="10"/>
  <c r="L27" i="10"/>
  <c r="M27" i="10"/>
  <c r="N27" i="10"/>
  <c r="O27" i="10"/>
  <c r="P27" i="10"/>
  <c r="Q27" i="10"/>
  <c r="G32" i="10"/>
  <c r="G40" i="10" s="1"/>
  <c r="H32" i="10"/>
  <c r="I32" i="10"/>
  <c r="J32" i="10"/>
  <c r="K32" i="10"/>
  <c r="L32" i="10"/>
  <c r="M32" i="10"/>
  <c r="N32" i="10"/>
  <c r="O32" i="10"/>
  <c r="P32" i="10"/>
  <c r="G36" i="10"/>
  <c r="H36" i="10"/>
  <c r="I36" i="10"/>
  <c r="J36" i="10"/>
  <c r="K36" i="10"/>
  <c r="L36" i="10"/>
  <c r="M36" i="10"/>
  <c r="N36" i="10"/>
  <c r="O36" i="10"/>
  <c r="P36" i="10"/>
  <c r="G37" i="10"/>
  <c r="H37" i="10"/>
  <c r="I37" i="10"/>
  <c r="J37" i="10"/>
  <c r="K37" i="10"/>
  <c r="L37" i="10"/>
  <c r="M37" i="10"/>
  <c r="N37" i="10"/>
  <c r="O37" i="10"/>
  <c r="P37" i="10"/>
  <c r="Q37" i="10"/>
  <c r="H40" i="10"/>
  <c r="I40" i="10"/>
  <c r="J40" i="10"/>
  <c r="K40" i="10"/>
  <c r="L40" i="10"/>
  <c r="M40" i="10"/>
  <c r="N40" i="10"/>
  <c r="O40" i="10"/>
  <c r="P40" i="10"/>
  <c r="G41" i="10"/>
  <c r="H41" i="10"/>
  <c r="I41" i="10"/>
  <c r="J41" i="10"/>
  <c r="K41" i="10"/>
  <c r="L41" i="10"/>
  <c r="M41" i="10"/>
  <c r="N41" i="10"/>
  <c r="O41" i="10"/>
  <c r="P41" i="10"/>
  <c r="G44" i="10"/>
  <c r="H44" i="10"/>
  <c r="I44" i="10"/>
  <c r="J44" i="10"/>
  <c r="K44" i="10"/>
  <c r="L44" i="10"/>
  <c r="M44" i="10"/>
  <c r="N44" i="10"/>
  <c r="O44" i="10"/>
  <c r="P44" i="10"/>
  <c r="G54" i="10"/>
  <c r="H54" i="10"/>
  <c r="I54" i="10"/>
  <c r="J54" i="10"/>
  <c r="K54" i="10"/>
  <c r="L54" i="10"/>
  <c r="M54" i="10"/>
  <c r="N54" i="10"/>
  <c r="O54" i="10"/>
  <c r="P54" i="10"/>
  <c r="Q54" i="10"/>
  <c r="G61" i="10"/>
  <c r="H61" i="10"/>
  <c r="I61" i="10"/>
  <c r="J61" i="10"/>
  <c r="K61" i="10"/>
  <c r="L61" i="10"/>
  <c r="M61" i="10"/>
  <c r="N61" i="10"/>
  <c r="O61" i="10"/>
  <c r="P61" i="10"/>
  <c r="Q61" i="10"/>
  <c r="G62" i="10"/>
  <c r="H62" i="10"/>
  <c r="I62" i="10"/>
  <c r="J62" i="10"/>
  <c r="K62" i="10"/>
  <c r="L62" i="10"/>
  <c r="M62" i="10"/>
  <c r="N62" i="10"/>
  <c r="O62" i="10"/>
  <c r="P62" i="10"/>
  <c r="Q62" i="10"/>
  <c r="G71" i="10"/>
  <c r="H71" i="10"/>
  <c r="I71" i="10"/>
  <c r="J71" i="10"/>
  <c r="K71" i="10"/>
  <c r="L71" i="10"/>
  <c r="M71" i="10"/>
  <c r="N71" i="10"/>
  <c r="O71" i="10"/>
  <c r="P71" i="10"/>
  <c r="Q71" i="10"/>
  <c r="G72" i="10"/>
  <c r="H72" i="10"/>
  <c r="I72" i="10"/>
  <c r="J72" i="10"/>
  <c r="K72" i="10"/>
  <c r="L72" i="10"/>
  <c r="M72" i="10"/>
  <c r="N72" i="10"/>
  <c r="O72" i="10"/>
  <c r="P72" i="10"/>
  <c r="Q72" i="10"/>
  <c r="I10" i="12"/>
  <c r="I9" i="12"/>
  <c r="I8" i="12"/>
  <c r="I7" i="12"/>
  <c r="I6" i="12"/>
  <c r="I5" i="12"/>
  <c r="I4" i="12"/>
  <c r="I3" i="12"/>
  <c r="L25" i="10" s="1"/>
  <c r="I2" i="12"/>
  <c r="Q25" i="10" s="1"/>
  <c r="C105" i="23"/>
  <c r="F4" i="12" s="1"/>
  <c r="C104" i="23"/>
  <c r="F3" i="12" s="1"/>
  <c r="C101" i="23"/>
  <c r="F12" i="12" s="1"/>
  <c r="C100" i="23"/>
  <c r="F11" i="12" s="1"/>
  <c r="C99" i="23"/>
  <c r="F10" i="12" s="1"/>
  <c r="C98" i="23"/>
  <c r="F9" i="12" s="1"/>
  <c r="C97" i="23"/>
  <c r="F8" i="12" s="1"/>
  <c r="C94" i="23"/>
  <c r="F7" i="12" s="1"/>
  <c r="C92" i="23"/>
  <c r="F6" i="12" s="1"/>
  <c r="C91" i="23"/>
  <c r="F2" i="12" s="1"/>
  <c r="N55" i="10" l="1"/>
  <c r="O9" i="10"/>
  <c r="M55" i="10"/>
  <c r="M25" i="10"/>
  <c r="F25" i="10"/>
  <c r="E25" i="10"/>
  <c r="Q55" i="10"/>
  <c r="I55" i="10"/>
  <c r="F55" i="10"/>
  <c r="E55" i="10"/>
  <c r="M9" i="10"/>
  <c r="I9" i="10"/>
  <c r="P9" i="10"/>
  <c r="L9" i="10"/>
  <c r="H9" i="10"/>
  <c r="O28" i="10"/>
  <c r="O67" i="10" s="1"/>
  <c r="Q28" i="10"/>
  <c r="Q67" i="10" s="1"/>
  <c r="M28" i="10"/>
  <c r="M67" i="10" s="1"/>
  <c r="I28" i="10"/>
  <c r="I67" i="10" s="1"/>
  <c r="Q9" i="10"/>
  <c r="O55" i="10"/>
  <c r="L55" i="10"/>
  <c r="K25" i="10"/>
  <c r="K55" i="10"/>
  <c r="G28" i="10"/>
  <c r="G67" i="10" s="1"/>
  <c r="J25" i="10"/>
  <c r="G55" i="10"/>
  <c r="J55" i="10"/>
  <c r="I25" i="10"/>
  <c r="P25" i="10"/>
  <c r="H25" i="10"/>
  <c r="G9" i="10"/>
  <c r="P55" i="10"/>
  <c r="H55" i="10"/>
  <c r="O25" i="10"/>
  <c r="G25" i="10"/>
  <c r="K28" i="10"/>
  <c r="K67" i="10" s="1"/>
  <c r="N25" i="10"/>
  <c r="P28" i="10"/>
  <c r="P67" i="10" s="1"/>
  <c r="L28" i="10"/>
  <c r="L67" i="10" s="1"/>
  <c r="H28" i="10"/>
  <c r="H67" i="10" s="1"/>
  <c r="N9" i="10"/>
  <c r="J9" i="10"/>
  <c r="N28" i="10"/>
  <c r="N67" i="10" s="1"/>
  <c r="J28" i="10"/>
  <c r="J67" i="10" s="1"/>
  <c r="C25" i="16" l="1"/>
  <c r="I1" i="16" l="1"/>
  <c r="B1" i="16"/>
  <c r="Q6" i="17"/>
  <c r="D6" i="17"/>
  <c r="D44" i="17"/>
  <c r="D10" i="10" l="1"/>
  <c r="D12" i="10"/>
  <c r="Z5" i="12" l="1"/>
  <c r="Z4" i="12"/>
  <c r="Z3" i="12"/>
  <c r="Z2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9" i="12"/>
  <c r="AH10" i="12"/>
  <c r="AH11" i="12"/>
  <c r="AH12" i="12"/>
  <c r="AH13" i="12"/>
  <c r="AH14" i="12"/>
  <c r="AH15" i="12"/>
  <c r="AH16" i="12"/>
  <c r="AH8" i="12"/>
  <c r="AH7" i="12"/>
  <c r="AH6" i="12"/>
  <c r="AH5" i="12"/>
  <c r="AH4" i="12"/>
  <c r="AH3" i="12"/>
  <c r="AH2" i="12"/>
  <c r="D45" i="10" l="1"/>
  <c r="F1" i="19"/>
  <c r="D62" i="10"/>
  <c r="F52" i="10" l="1"/>
  <c r="F48" i="10"/>
  <c r="F46" i="10"/>
  <c r="F47" i="10" s="1"/>
  <c r="E52" i="10"/>
  <c r="E48" i="10"/>
  <c r="E46" i="10"/>
  <c r="E47" i="10" s="1"/>
  <c r="E49" i="10"/>
  <c r="F49" i="10"/>
  <c r="G46" i="10"/>
  <c r="G47" i="10" s="1"/>
  <c r="K46" i="10"/>
  <c r="K47" i="10" s="1"/>
  <c r="O46" i="10"/>
  <c r="O47" i="10" s="1"/>
  <c r="J48" i="10"/>
  <c r="N48" i="10"/>
  <c r="G49" i="10"/>
  <c r="K49" i="10"/>
  <c r="O49" i="10"/>
  <c r="K52" i="10"/>
  <c r="H46" i="10"/>
  <c r="H47" i="10" s="1"/>
  <c r="L46" i="10"/>
  <c r="L47" i="10" s="1"/>
  <c r="P46" i="10"/>
  <c r="P47" i="10" s="1"/>
  <c r="G48" i="10"/>
  <c r="K48" i="10"/>
  <c r="O48" i="10"/>
  <c r="H49" i="10"/>
  <c r="L49" i="10"/>
  <c r="P49" i="10"/>
  <c r="N52" i="10"/>
  <c r="I46" i="10"/>
  <c r="I47" i="10" s="1"/>
  <c r="M46" i="10"/>
  <c r="M47" i="10" s="1"/>
  <c r="Q46" i="10"/>
  <c r="Q47" i="10" s="1"/>
  <c r="H48" i="10"/>
  <c r="L48" i="10"/>
  <c r="P48" i="10"/>
  <c r="I49" i="10"/>
  <c r="M49" i="10"/>
  <c r="Q49" i="10"/>
  <c r="O52" i="10"/>
  <c r="J46" i="10"/>
  <c r="J47" i="10" s="1"/>
  <c r="N46" i="10"/>
  <c r="N47" i="10" s="1"/>
  <c r="I48" i="10"/>
  <c r="M48" i="10"/>
  <c r="Q48" i="10"/>
  <c r="J49" i="10"/>
  <c r="N49" i="10"/>
  <c r="G52" i="10"/>
  <c r="P52" i="10"/>
  <c r="Q52" i="10"/>
  <c r="I52" i="10"/>
  <c r="J52" i="10"/>
  <c r="L52" i="10"/>
  <c r="M52" i="10"/>
  <c r="H52" i="10"/>
  <c r="B3" i="17"/>
  <c r="C121" i="23"/>
  <c r="C120" i="23"/>
  <c r="C119" i="23"/>
  <c r="C118" i="23"/>
  <c r="C117" i="23"/>
  <c r="C116" i="23"/>
  <c r="C115" i="23"/>
  <c r="E15" i="16" s="1"/>
  <c r="C114" i="23"/>
  <c r="C113" i="23"/>
  <c r="C112" i="23"/>
  <c r="C111" i="23"/>
  <c r="C110" i="23"/>
  <c r="O2" i="12" s="1"/>
  <c r="C88" i="23"/>
  <c r="C87" i="23"/>
  <c r="C86" i="23"/>
  <c r="C85" i="23"/>
  <c r="C84" i="23"/>
  <c r="C83" i="23"/>
  <c r="C82" i="23"/>
  <c r="C81" i="23"/>
  <c r="A2" i="12" s="1"/>
  <c r="C80" i="23"/>
  <c r="C79" i="23"/>
  <c r="C78" i="23"/>
  <c r="C77" i="23"/>
  <c r="C76" i="23"/>
  <c r="C75" i="23"/>
  <c r="C74" i="23"/>
  <c r="C73" i="23"/>
  <c r="C70" i="23"/>
  <c r="C69" i="23"/>
  <c r="C68" i="23"/>
  <c r="C67" i="23"/>
  <c r="C66" i="23"/>
  <c r="C65" i="23"/>
  <c r="C64" i="23"/>
  <c r="C63" i="23"/>
  <c r="C62" i="23"/>
  <c r="C61" i="23"/>
  <c r="C60" i="23"/>
  <c r="C59" i="23"/>
  <c r="C58" i="23"/>
  <c r="C57" i="23"/>
  <c r="C56" i="23"/>
  <c r="C55" i="23"/>
  <c r="C54" i="23"/>
  <c r="C53" i="23"/>
  <c r="C52" i="23"/>
  <c r="C51" i="23"/>
  <c r="C50" i="23"/>
  <c r="P31" i="17" s="1"/>
  <c r="C49" i="23"/>
  <c r="P16" i="17" s="1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F8" i="16" s="1"/>
  <c r="C12" i="23"/>
  <c r="C11" i="23"/>
  <c r="C10" i="23"/>
  <c r="C9" i="23"/>
  <c r="C8" i="23"/>
  <c r="C7" i="23"/>
  <c r="C6" i="23"/>
  <c r="C5" i="23"/>
  <c r="C4" i="23"/>
  <c r="C3" i="23"/>
  <c r="P9" i="12" l="1"/>
  <c r="P8" i="12"/>
  <c r="P7" i="12"/>
  <c r="P6" i="12"/>
  <c r="P5" i="12"/>
  <c r="P4" i="12"/>
  <c r="I72" i="23"/>
  <c r="I71" i="23"/>
  <c r="H72" i="23" l="1"/>
  <c r="H71" i="23"/>
  <c r="G72" i="23" l="1"/>
  <c r="G71" i="23"/>
  <c r="E72" i="23" l="1"/>
  <c r="C72" i="23" s="1"/>
  <c r="E71" i="23"/>
  <c r="C71" i="23" s="1"/>
  <c r="E16" i="16" l="1"/>
  <c r="F25" i="16"/>
  <c r="L15" i="16"/>
  <c r="L23" i="16"/>
  <c r="P3" i="12"/>
  <c r="P2" i="12"/>
  <c r="E17" i="16" l="1"/>
  <c r="U2" i="12"/>
  <c r="L26" i="16"/>
  <c r="B2" i="18"/>
  <c r="E39" i="17"/>
  <c r="E38" i="17"/>
  <c r="E37" i="17"/>
  <c r="E36" i="17"/>
  <c r="E35" i="17"/>
  <c r="E34" i="17"/>
  <c r="E33" i="17"/>
  <c r="E32" i="17"/>
  <c r="E31" i="17"/>
  <c r="E30" i="17"/>
  <c r="E29" i="17"/>
  <c r="AF9" i="12"/>
  <c r="AF8" i="12"/>
  <c r="X3" i="12"/>
  <c r="X2" i="12"/>
  <c r="O3" i="12"/>
  <c r="A9" i="12"/>
  <c r="A8" i="12"/>
  <c r="A7" i="12"/>
  <c r="A6" i="12"/>
  <c r="A5" i="12"/>
  <c r="A4" i="12"/>
  <c r="A3" i="12"/>
  <c r="Y12" i="17"/>
  <c r="Y11" i="17"/>
  <c r="Y10" i="17"/>
  <c r="Y9" i="17"/>
  <c r="X6" i="17"/>
  <c r="A4" i="18"/>
  <c r="A3" i="18"/>
  <c r="C8" i="18"/>
  <c r="B8" i="18"/>
  <c r="B2" i="17"/>
  <c r="M26" i="16"/>
  <c r="J27" i="16"/>
  <c r="J26" i="16"/>
  <c r="I25" i="16"/>
  <c r="J23" i="16"/>
  <c r="J22" i="16"/>
  <c r="J21" i="16"/>
  <c r="J20" i="16"/>
  <c r="J19" i="16"/>
  <c r="J18" i="16"/>
  <c r="J15" i="16"/>
  <c r="I14" i="16"/>
  <c r="J12" i="16"/>
  <c r="J11" i="16"/>
  <c r="I10" i="16"/>
  <c r="F19" i="10" l="1"/>
  <c r="E19" i="10"/>
  <c r="E28" i="10"/>
  <c r="E67" i="10" s="1"/>
  <c r="F22" i="10"/>
  <c r="E22" i="10"/>
  <c r="Y8" i="17"/>
  <c r="BG2" i="18"/>
  <c r="BC2" i="18"/>
  <c r="AY2" i="18"/>
  <c r="AU2" i="18"/>
  <c r="AQ2" i="18"/>
  <c r="AM2" i="18"/>
  <c r="AI2" i="18"/>
  <c r="AE2" i="18"/>
  <c r="AA2" i="18"/>
  <c r="W2" i="18"/>
  <c r="S2" i="18"/>
  <c r="O2" i="18"/>
  <c r="K2" i="18"/>
  <c r="G2" i="18"/>
  <c r="C2" i="18"/>
  <c r="BF2" i="18"/>
  <c r="BB2" i="18"/>
  <c r="AX2" i="18"/>
  <c r="AT2" i="18"/>
  <c r="AP2" i="18"/>
  <c r="AL2" i="18"/>
  <c r="AH2" i="18"/>
  <c r="AD2" i="18"/>
  <c r="Z2" i="18"/>
  <c r="V2" i="18"/>
  <c r="R2" i="18"/>
  <c r="N2" i="18"/>
  <c r="J2" i="18"/>
  <c r="F2" i="18"/>
  <c r="BI2" i="18"/>
  <c r="BE2" i="18"/>
  <c r="BA2" i="18"/>
  <c r="AW2" i="18"/>
  <c r="AS2" i="18"/>
  <c r="AO2" i="18"/>
  <c r="AK2" i="18"/>
  <c r="AG2" i="18"/>
  <c r="AC2" i="18"/>
  <c r="Y2" i="18"/>
  <c r="U2" i="18"/>
  <c r="Q2" i="18"/>
  <c r="M2" i="18"/>
  <c r="I2" i="18"/>
  <c r="E2" i="18"/>
  <c r="BH2" i="18"/>
  <c r="BD2" i="18"/>
  <c r="AZ2" i="18"/>
  <c r="AV2" i="18"/>
  <c r="AR2" i="18"/>
  <c r="AN2" i="18"/>
  <c r="AJ2" i="18"/>
  <c r="AF2" i="18"/>
  <c r="AB2" i="18"/>
  <c r="X2" i="18"/>
  <c r="T2" i="18"/>
  <c r="P2" i="18"/>
  <c r="L2" i="18"/>
  <c r="H2" i="18"/>
  <c r="D2" i="18"/>
  <c r="F7" i="16"/>
  <c r="F5" i="16"/>
  <c r="C22" i="16"/>
  <c r="C20" i="16"/>
  <c r="C19" i="16"/>
  <c r="C18" i="16"/>
  <c r="C17" i="16"/>
  <c r="C16" i="16"/>
  <c r="C15" i="16"/>
  <c r="B14" i="16"/>
  <c r="F28" i="10" l="1"/>
  <c r="F67" i="10" s="1"/>
  <c r="C10" i="16"/>
  <c r="C9" i="16"/>
  <c r="C8" i="16"/>
  <c r="C7" i="16"/>
  <c r="B6" i="16"/>
  <c r="B4" i="16"/>
  <c r="C2" i="16"/>
  <c r="D2" i="16"/>
  <c r="F72" i="23"/>
  <c r="F71" i="23"/>
  <c r="J2" i="16" l="1"/>
  <c r="D72" i="23" l="1"/>
  <c r="D71" i="23"/>
  <c r="AF7" i="12"/>
  <c r="AF6" i="12"/>
  <c r="AF5" i="12"/>
  <c r="AF4" i="12"/>
  <c r="AF3" i="12"/>
  <c r="AF2" i="12"/>
  <c r="M5" i="16"/>
  <c r="J8" i="16"/>
  <c r="J7" i="16"/>
  <c r="I6" i="16"/>
  <c r="D51" i="10" l="1"/>
  <c r="AA5" i="12"/>
  <c r="AB5" i="12" s="1"/>
  <c r="AC5" i="12" s="1"/>
  <c r="AD5" i="12" s="1"/>
  <c r="AA4" i="12"/>
  <c r="AB4" i="12" s="1"/>
  <c r="AC4" i="12" s="1"/>
  <c r="AD4" i="12" s="1"/>
  <c r="AA3" i="12"/>
  <c r="AB3" i="12" s="1"/>
  <c r="AC3" i="12" s="1"/>
  <c r="AD3" i="12" s="1"/>
  <c r="AA2" i="12"/>
  <c r="AB2" i="12" l="1"/>
  <c r="AC2" i="12" s="1"/>
  <c r="AD2" i="12" s="1"/>
  <c r="A1" i="19" l="1"/>
  <c r="A2" i="19" l="1"/>
  <c r="B11" i="18" l="1"/>
  <c r="H31" i="17" s="1"/>
  <c r="D20" i="16"/>
  <c r="B12" i="18"/>
  <c r="H32" i="17" s="1"/>
  <c r="F9" i="16"/>
  <c r="D61" i="10" l="1"/>
  <c r="D3" i="10" l="1"/>
  <c r="D55" i="10" l="1"/>
  <c r="D42" i="10"/>
  <c r="D38" i="10"/>
  <c r="D34" i="10"/>
  <c r="D30" i="10"/>
  <c r="D23" i="10"/>
  <c r="D5" i="10"/>
  <c r="D36" i="10"/>
  <c r="D25" i="10"/>
  <c r="D50" i="10"/>
  <c r="D41" i="10"/>
  <c r="D37" i="10"/>
  <c r="D33" i="10"/>
  <c r="D29" i="10"/>
  <c r="D21" i="10"/>
  <c r="D44" i="10"/>
  <c r="D40" i="10"/>
  <c r="D32" i="10"/>
  <c r="D18" i="10"/>
  <c r="D43" i="10"/>
  <c r="D39" i="10"/>
  <c r="D35" i="10"/>
  <c r="D31" i="10"/>
  <c r="D24" i="10"/>
  <c r="D13" i="10"/>
  <c r="D4" i="10"/>
  <c r="D48" i="10" l="1"/>
  <c r="D49" i="10"/>
  <c r="D46" i="10"/>
  <c r="D52" i="10"/>
  <c r="K8" i="16"/>
  <c r="D54" i="10"/>
  <c r="D17" i="10"/>
  <c r="D19" i="10" s="1"/>
  <c r="D8" i="10"/>
  <c r="D15" i="10"/>
  <c r="D20" i="10"/>
  <c r="D22" i="10" s="1"/>
  <c r="D26" i="10"/>
  <c r="D27" i="10"/>
  <c r="B9" i="18"/>
  <c r="B10" i="18"/>
  <c r="H30" i="17" s="1"/>
  <c r="D71" i="10"/>
  <c r="B24" i="18"/>
  <c r="B4" i="18"/>
  <c r="B6" i="18" s="1"/>
  <c r="B3" i="18"/>
  <c r="D72" i="10"/>
  <c r="B8" i="12"/>
  <c r="B4" i="12"/>
  <c r="M11" i="16"/>
  <c r="K15" i="16"/>
  <c r="K7" i="16"/>
  <c r="B9" i="12"/>
  <c r="B7" i="12"/>
  <c r="B6" i="12"/>
  <c r="B5" i="12"/>
  <c r="B3" i="12"/>
  <c r="B2" i="12"/>
  <c r="F53" i="10" l="1"/>
  <c r="E53" i="10"/>
  <c r="E11" i="10"/>
  <c r="E14" i="10" s="1"/>
  <c r="E16" i="10" s="1"/>
  <c r="F11" i="10"/>
  <c r="F14" i="10" s="1"/>
  <c r="F16" i="10" s="1"/>
  <c r="G11" i="10"/>
  <c r="G14" i="10" s="1"/>
  <c r="G16" i="10" s="1"/>
  <c r="H11" i="10"/>
  <c r="H14" i="10" s="1"/>
  <c r="H16" i="10" s="1"/>
  <c r="Q11" i="10"/>
  <c r="Q14" i="10" s="1"/>
  <c r="Q16" i="10" s="1"/>
  <c r="I11" i="10"/>
  <c r="I14" i="10" s="1"/>
  <c r="I16" i="10" s="1"/>
  <c r="K11" i="10"/>
  <c r="K14" i="10" s="1"/>
  <c r="K16" i="10" s="1"/>
  <c r="J11" i="10"/>
  <c r="J14" i="10" s="1"/>
  <c r="O11" i="10"/>
  <c r="O14" i="10" s="1"/>
  <c r="O16" i="10" s="1"/>
  <c r="M11" i="10"/>
  <c r="M14" i="10" s="1"/>
  <c r="M16" i="10" s="1"/>
  <c r="N11" i="10"/>
  <c r="N14" i="10" s="1"/>
  <c r="L11" i="10"/>
  <c r="L14" i="10" s="1"/>
  <c r="L16" i="10" s="1"/>
  <c r="P11" i="10"/>
  <c r="P14" i="10" s="1"/>
  <c r="P16" i="10" s="1"/>
  <c r="I53" i="10"/>
  <c r="Q53" i="10"/>
  <c r="J53" i="10"/>
  <c r="K53" i="10"/>
  <c r="L53" i="10"/>
  <c r="M53" i="10"/>
  <c r="N53" i="10"/>
  <c r="G53" i="10"/>
  <c r="O53" i="10"/>
  <c r="H53" i="10"/>
  <c r="P53" i="10"/>
  <c r="D47" i="10"/>
  <c r="D11" i="10"/>
  <c r="D14" i="10" s="1"/>
  <c r="D16" i="10" s="1"/>
  <c r="G30" i="23"/>
  <c r="H30" i="23"/>
  <c r="D30" i="23"/>
  <c r="F30" i="23"/>
  <c r="J30" i="23"/>
  <c r="E30" i="23"/>
  <c r="J17" i="16" s="1"/>
  <c r="I30" i="23"/>
  <c r="D53" i="10"/>
  <c r="K31" i="17"/>
  <c r="E18" i="16"/>
  <c r="I31" i="17"/>
  <c r="B20" i="18"/>
  <c r="C3" i="18" s="1"/>
  <c r="D3" i="18" s="1"/>
  <c r="E3" i="18" s="1"/>
  <c r="F3" i="18" s="1"/>
  <c r="G3" i="18" s="1"/>
  <c r="H3" i="18" s="1"/>
  <c r="I3" i="18" s="1"/>
  <c r="J3" i="18" s="1"/>
  <c r="K3" i="18" s="1"/>
  <c r="L3" i="18" s="1"/>
  <c r="M3" i="18" s="1"/>
  <c r="L27" i="16"/>
  <c r="K32" i="17"/>
  <c r="E19" i="16"/>
  <c r="I32" i="17"/>
  <c r="H29" i="17"/>
  <c r="K35" i="17"/>
  <c r="I39" i="17"/>
  <c r="K36" i="17"/>
  <c r="L20" i="16"/>
  <c r="E20" i="16"/>
  <c r="L19" i="16"/>
  <c r="K38" i="17"/>
  <c r="K39" i="17"/>
  <c r="I34" i="17"/>
  <c r="I29" i="17"/>
  <c r="I30" i="17"/>
  <c r="I33" i="17"/>
  <c r="K33" i="17"/>
  <c r="L21" i="16"/>
  <c r="I35" i="17"/>
  <c r="I36" i="17"/>
  <c r="K30" i="17"/>
  <c r="K37" i="17"/>
  <c r="L22" i="16"/>
  <c r="L16" i="16"/>
  <c r="L12" i="16"/>
  <c r="K46" i="17" s="1"/>
  <c r="K34" i="17"/>
  <c r="K29" i="17"/>
  <c r="I37" i="17"/>
  <c r="I38" i="17"/>
  <c r="B5" i="18"/>
  <c r="D28" i="10"/>
  <c r="D67" i="10" s="1"/>
  <c r="C17" i="18" s="1"/>
  <c r="J37" i="17" s="1"/>
  <c r="D7" i="10"/>
  <c r="D9" i="10" s="1"/>
  <c r="E66" i="10" l="1"/>
  <c r="E59" i="10"/>
  <c r="E58" i="10"/>
  <c r="E56" i="10"/>
  <c r="E64" i="10" s="1"/>
  <c r="F66" i="10"/>
  <c r="F58" i="10"/>
  <c r="F56" i="10"/>
  <c r="F64" i="10" s="1"/>
  <c r="F59" i="10"/>
  <c r="N66" i="10"/>
  <c r="N58" i="10"/>
  <c r="N57" i="10" s="1"/>
  <c r="N56" i="10"/>
  <c r="N59" i="10"/>
  <c r="M66" i="10"/>
  <c r="M58" i="10"/>
  <c r="M57" i="10" s="1"/>
  <c r="M56" i="10"/>
  <c r="M59" i="10"/>
  <c r="L58" i="10"/>
  <c r="L57" i="10" s="1"/>
  <c r="L66" i="10"/>
  <c r="L56" i="10"/>
  <c r="L59" i="10"/>
  <c r="K66" i="10"/>
  <c r="K58" i="10"/>
  <c r="K57" i="10" s="1"/>
  <c r="K59" i="10"/>
  <c r="K56" i="10"/>
  <c r="J16" i="10"/>
  <c r="P58" i="10"/>
  <c r="P57" i="10" s="1"/>
  <c r="P66" i="10"/>
  <c r="P56" i="10"/>
  <c r="P59" i="10"/>
  <c r="J66" i="10"/>
  <c r="J58" i="10"/>
  <c r="J57" i="10" s="1"/>
  <c r="J56" i="10"/>
  <c r="J59" i="10"/>
  <c r="H58" i="10"/>
  <c r="H57" i="10" s="1"/>
  <c r="H66" i="10"/>
  <c r="H59" i="10"/>
  <c r="H56" i="10"/>
  <c r="Q58" i="10"/>
  <c r="Q57" i="10" s="1"/>
  <c r="Q66" i="10"/>
  <c r="Q59" i="10"/>
  <c r="Q56" i="10"/>
  <c r="O66" i="10"/>
  <c r="O58" i="10"/>
  <c r="O57" i="10" s="1"/>
  <c r="O56" i="10"/>
  <c r="O59" i="10"/>
  <c r="I58" i="10"/>
  <c r="I57" i="10" s="1"/>
  <c r="I66" i="10"/>
  <c r="I56" i="10"/>
  <c r="I59" i="10"/>
  <c r="G66" i="10"/>
  <c r="G58" i="10"/>
  <c r="G57" i="10" s="1"/>
  <c r="G59" i="10"/>
  <c r="G56" i="10"/>
  <c r="N16" i="10"/>
  <c r="J16" i="16"/>
  <c r="C30" i="23"/>
  <c r="N3" i="18"/>
  <c r="O3" i="18" s="1"/>
  <c r="P3" i="18" s="1"/>
  <c r="Q3" i="18" s="1"/>
  <c r="R3" i="18" s="1"/>
  <c r="S3" i="18" s="1"/>
  <c r="T3" i="18" s="1"/>
  <c r="U3" i="18" s="1"/>
  <c r="V3" i="18" s="1"/>
  <c r="W3" i="18" s="1"/>
  <c r="X3" i="18" s="1"/>
  <c r="Y3" i="18" s="1"/>
  <c r="Z3" i="18" s="1"/>
  <c r="AA3" i="18" s="1"/>
  <c r="AB3" i="18" s="1"/>
  <c r="AC3" i="18" s="1"/>
  <c r="AD3" i="18" s="1"/>
  <c r="AE3" i="18" s="1"/>
  <c r="AF3" i="18" s="1"/>
  <c r="AG3" i="18" s="1"/>
  <c r="AH3" i="18" s="1"/>
  <c r="AI3" i="18" s="1"/>
  <c r="AJ3" i="18" s="1"/>
  <c r="AK3" i="18" s="1"/>
  <c r="AL3" i="18" s="1"/>
  <c r="AM3" i="18" s="1"/>
  <c r="AN3" i="18" s="1"/>
  <c r="AO3" i="18" s="1"/>
  <c r="AP3" i="18" s="1"/>
  <c r="AQ3" i="18" s="1"/>
  <c r="AR3" i="18" s="1"/>
  <c r="AS3" i="18" s="1"/>
  <c r="AT3" i="18" s="1"/>
  <c r="AU3" i="18" s="1"/>
  <c r="AV3" i="18" s="1"/>
  <c r="AW3" i="18" s="1"/>
  <c r="AX3" i="18" s="1"/>
  <c r="AY3" i="18" s="1"/>
  <c r="AZ3" i="18" s="1"/>
  <c r="BA3" i="18" s="1"/>
  <c r="BB3" i="18" s="1"/>
  <c r="BC3" i="18" s="1"/>
  <c r="BD3" i="18" s="1"/>
  <c r="BE3" i="18" s="1"/>
  <c r="BF3" i="18" s="1"/>
  <c r="BG3" i="18" s="1"/>
  <c r="BH3" i="18" s="1"/>
  <c r="BI3" i="18" s="1"/>
  <c r="F68" i="10" l="1"/>
  <c r="F60" i="10"/>
  <c r="F69" i="10" s="1"/>
  <c r="I65" i="10"/>
  <c r="E60" i="10"/>
  <c r="E69" i="10" s="1"/>
  <c r="E68" i="10"/>
  <c r="L65" i="10"/>
  <c r="N65" i="10"/>
  <c r="E65" i="10"/>
  <c r="E57" i="10"/>
  <c r="F9" i="10"/>
  <c r="F63" i="10" s="1"/>
  <c r="E9" i="10"/>
  <c r="E63" i="10" s="1"/>
  <c r="F65" i="10"/>
  <c r="F57" i="10"/>
  <c r="J65" i="10"/>
  <c r="Q65" i="10"/>
  <c r="O65" i="10"/>
  <c r="I68" i="10"/>
  <c r="I60" i="10"/>
  <c r="I69" i="10" s="1"/>
  <c r="K65" i="10"/>
  <c r="H65" i="10"/>
  <c r="I64" i="10"/>
  <c r="I63" i="10"/>
  <c r="J68" i="10"/>
  <c r="J60" i="10"/>
  <c r="J69" i="10" s="1"/>
  <c r="L60" i="10"/>
  <c r="L69" i="10" s="1"/>
  <c r="L68" i="10"/>
  <c r="N68" i="10"/>
  <c r="N60" i="10"/>
  <c r="N69" i="10" s="1"/>
  <c r="Q60" i="10"/>
  <c r="Q69" i="10" s="1"/>
  <c r="Q68" i="10"/>
  <c r="J64" i="10"/>
  <c r="J63" i="10"/>
  <c r="L63" i="10"/>
  <c r="L64" i="10"/>
  <c r="N63" i="10"/>
  <c r="N64" i="10"/>
  <c r="G63" i="10"/>
  <c r="G64" i="10"/>
  <c r="G68" i="10"/>
  <c r="G60" i="10"/>
  <c r="G69" i="10" s="1"/>
  <c r="O68" i="10"/>
  <c r="O60" i="10"/>
  <c r="O69" i="10" s="1"/>
  <c r="O63" i="10"/>
  <c r="O64" i="10"/>
  <c r="P60" i="10"/>
  <c r="P69" i="10" s="1"/>
  <c r="P68" i="10"/>
  <c r="K63" i="10"/>
  <c r="K64" i="10"/>
  <c r="M60" i="10"/>
  <c r="M69" i="10" s="1"/>
  <c r="M68" i="10"/>
  <c r="P65" i="10"/>
  <c r="Q63" i="10"/>
  <c r="Q64" i="10"/>
  <c r="H64" i="10"/>
  <c r="H63" i="10"/>
  <c r="G65" i="10"/>
  <c r="H60" i="10"/>
  <c r="H69" i="10" s="1"/>
  <c r="H68" i="10"/>
  <c r="P64" i="10"/>
  <c r="P63" i="10"/>
  <c r="K60" i="10"/>
  <c r="K69" i="10" s="1"/>
  <c r="K68" i="10"/>
  <c r="M64" i="10"/>
  <c r="M63" i="10"/>
  <c r="M65" i="10"/>
  <c r="J70" i="10" l="1"/>
  <c r="E70" i="10"/>
  <c r="F70" i="10"/>
  <c r="M70" i="10"/>
  <c r="L70" i="10"/>
  <c r="H70" i="10"/>
  <c r="I70" i="10"/>
  <c r="P70" i="10"/>
  <c r="G70" i="10"/>
  <c r="N70" i="10"/>
  <c r="K70" i="10"/>
  <c r="Q70" i="10"/>
  <c r="O70" i="10"/>
  <c r="D59" i="10"/>
  <c r="V2" i="12" s="1"/>
  <c r="D66" i="10"/>
  <c r="C16" i="18" s="1"/>
  <c r="J36" i="17" s="1"/>
  <c r="D56" i="10"/>
  <c r="D63" i="10" s="1"/>
  <c r="C13" i="18" s="1"/>
  <c r="D58" i="10"/>
  <c r="D57" i="10" s="1"/>
  <c r="D60" i="10" l="1"/>
  <c r="D69" i="10" s="1"/>
  <c r="B25" i="18"/>
  <c r="B26" i="18" s="1"/>
  <c r="C26" i="18" s="1"/>
  <c r="Q8" i="17" s="1"/>
  <c r="D65" i="10"/>
  <c r="C15" i="18" s="1"/>
  <c r="J35" i="17" s="1"/>
  <c r="D64" i="10"/>
  <c r="C14" i="18" s="1"/>
  <c r="J34" i="17" s="1"/>
  <c r="J33" i="17"/>
  <c r="D68" i="10"/>
  <c r="C18" i="18" s="1"/>
  <c r="J38" i="17" s="1"/>
  <c r="D70" i="10" l="1"/>
  <c r="C19" i="18" l="1"/>
  <c r="C20" i="18" s="1"/>
  <c r="D45" i="17" s="1"/>
  <c r="J39" i="17" l="1"/>
  <c r="C4" i="18" l="1"/>
  <c r="E20" i="18"/>
  <c r="D8" i="17" s="1"/>
  <c r="D20" i="18"/>
  <c r="E9" i="17" s="1"/>
  <c r="C5" i="18" l="1"/>
  <c r="C6" i="18"/>
  <c r="D4" i="18"/>
  <c r="D6" i="18" l="1"/>
  <c r="D5" i="18"/>
  <c r="E4" i="18"/>
  <c r="E6" i="18" l="1"/>
  <c r="F4" i="18"/>
  <c r="E5" i="18"/>
  <c r="F5" i="18" l="1"/>
  <c r="G4" i="18"/>
  <c r="F6" i="18"/>
  <c r="G5" i="18" l="1"/>
  <c r="H4" i="18"/>
  <c r="G6" i="18"/>
  <c r="H5" i="18" l="1"/>
  <c r="I4" i="18"/>
  <c r="H6" i="18"/>
  <c r="J4" i="18" l="1"/>
  <c r="I6" i="18"/>
  <c r="I5" i="18"/>
  <c r="K4" i="18" l="1"/>
  <c r="J5" i="18"/>
  <c r="J6" i="18"/>
  <c r="K5" i="18" l="1"/>
  <c r="L4" i="18"/>
  <c r="K6" i="18"/>
  <c r="L5" i="18" l="1"/>
  <c r="M4" i="18"/>
  <c r="M5" i="18" s="1"/>
  <c r="T49" i="17" s="1"/>
  <c r="L6" i="18"/>
  <c r="N4" i="18" l="1"/>
  <c r="M6" i="18"/>
  <c r="N6" i="18" l="1"/>
  <c r="N5" i="18"/>
  <c r="O4" i="18"/>
  <c r="O5" i="18" l="1"/>
  <c r="P4" i="18"/>
  <c r="O6" i="18"/>
  <c r="Q4" i="18" l="1"/>
  <c r="P6" i="18"/>
  <c r="P5" i="18"/>
  <c r="Q5" i="18" l="1"/>
  <c r="R4" i="18"/>
  <c r="Q6" i="18"/>
  <c r="S4" i="18" l="1"/>
  <c r="R5" i="18"/>
  <c r="R6" i="18"/>
  <c r="S6" i="18" l="1"/>
  <c r="S5" i="18"/>
  <c r="T4" i="18"/>
  <c r="U4" i="18" l="1"/>
  <c r="T5" i="18"/>
  <c r="T6" i="18"/>
  <c r="U6" i="18" l="1"/>
  <c r="U5" i="18"/>
  <c r="V4" i="18"/>
  <c r="W4" i="18" l="1"/>
  <c r="V5" i="18"/>
  <c r="V6" i="18"/>
  <c r="W6" i="18" l="1"/>
  <c r="W5" i="18"/>
  <c r="X4" i="18"/>
  <c r="Y4" i="18" l="1"/>
  <c r="X6" i="18"/>
  <c r="X5" i="18"/>
  <c r="Y6" i="18" l="1"/>
  <c r="Y5" i="18"/>
  <c r="Z4" i="18"/>
  <c r="Z6" i="18" l="1"/>
  <c r="AA4" i="18"/>
  <c r="Z5" i="18"/>
  <c r="AA6" i="18" l="1"/>
  <c r="AB4" i="18"/>
  <c r="AA5" i="18"/>
  <c r="AB5" i="18" l="1"/>
  <c r="AB6" i="18"/>
  <c r="AC4" i="18"/>
  <c r="AD4" i="18" l="1"/>
  <c r="AC6" i="18"/>
  <c r="AC5" i="18"/>
  <c r="AD6" i="18" l="1"/>
  <c r="AD5" i="18"/>
  <c r="AE4" i="18"/>
  <c r="AE6" i="18" l="1"/>
  <c r="AE5" i="18"/>
  <c r="AF4" i="18"/>
  <c r="AF6" i="18" l="1"/>
  <c r="AF5" i="18"/>
  <c r="AG4" i="18"/>
  <c r="AG5" i="18" l="1"/>
  <c r="AH4" i="18"/>
  <c r="AG6" i="18"/>
  <c r="AI4" i="18" l="1"/>
  <c r="AH6" i="18"/>
  <c r="AH5" i="18"/>
  <c r="AI5" i="18" l="1"/>
  <c r="AI6" i="18"/>
  <c r="AJ4" i="18"/>
  <c r="AJ5" i="18" l="1"/>
  <c r="AJ6" i="18"/>
  <c r="AK4" i="18"/>
  <c r="AL4" i="18" l="1"/>
  <c r="AK5" i="18"/>
  <c r="AK6" i="18"/>
  <c r="AL6" i="18" l="1"/>
  <c r="AL5" i="18"/>
  <c r="AM4" i="18"/>
  <c r="AN4" i="18" l="1"/>
  <c r="AM6" i="18"/>
  <c r="AM5" i="18"/>
  <c r="AN6" i="18" l="1"/>
  <c r="AN5" i="18"/>
  <c r="AO4" i="18"/>
  <c r="AP4" i="18" l="1"/>
  <c r="AO6" i="18"/>
  <c r="AO5" i="18"/>
  <c r="AP6" i="18" l="1"/>
  <c r="AQ4" i="18"/>
  <c r="AP5" i="18"/>
  <c r="AQ5" i="18" l="1"/>
  <c r="AR4" i="18"/>
  <c r="AQ6" i="18"/>
  <c r="AS4" i="18" l="1"/>
  <c r="AR5" i="18"/>
  <c r="AR6" i="18"/>
  <c r="AS6" i="18" l="1"/>
  <c r="AT4" i="18"/>
  <c r="AS5" i="18"/>
  <c r="AU4" i="18" l="1"/>
  <c r="AT6" i="18"/>
  <c r="AT5" i="18"/>
  <c r="AU6" i="18" l="1"/>
  <c r="AU5" i="18"/>
  <c r="AV4" i="18"/>
  <c r="AW4" i="18" l="1"/>
  <c r="AV6" i="18"/>
  <c r="AV5" i="18"/>
  <c r="AX4" i="18" l="1"/>
  <c r="AW6" i="18"/>
  <c r="AW5" i="18"/>
  <c r="AX5" i="18" l="1"/>
  <c r="AX6" i="18"/>
  <c r="AY4" i="18"/>
  <c r="AY5" i="18" l="1"/>
  <c r="AZ4" i="18"/>
  <c r="AY6" i="18"/>
  <c r="BA4" i="18" l="1"/>
  <c r="AZ5" i="18"/>
  <c r="AZ6" i="18"/>
  <c r="BB4" i="18" l="1"/>
  <c r="BA5" i="18"/>
  <c r="BA6" i="18"/>
  <c r="BB6" i="18" l="1"/>
  <c r="BB5" i="18"/>
  <c r="BC4" i="18"/>
  <c r="BC6" i="18" l="1"/>
  <c r="BC5" i="18"/>
  <c r="BD4" i="18"/>
  <c r="BD5" i="18" l="1"/>
  <c r="BE4" i="18"/>
  <c r="BD6" i="18"/>
  <c r="BE6" i="18" l="1"/>
  <c r="BE5" i="18"/>
  <c r="BF4" i="18"/>
  <c r="BF5" i="18" l="1"/>
  <c r="BF6" i="18"/>
  <c r="BG4" i="18"/>
  <c r="BG5" i="18" l="1"/>
  <c r="BH4" i="18"/>
  <c r="BG6" i="18"/>
  <c r="BI4" i="18" l="1"/>
  <c r="BH5" i="18"/>
  <c r="BH6" i="18"/>
  <c r="BI6" i="18" l="1"/>
  <c r="BI5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Hirakawa, H. - Hiroyuki -</author>
  </authors>
  <commentList>
    <comment ref="D18" authorId="0" shapeId="0" xr:uid="{00000000-0006-0000-0300-000001000000}">
      <text>
        <r>
          <rPr>
            <b/>
            <sz val="9"/>
            <color indexed="81"/>
            <rFont val="ＭＳ Ｐゴシック"/>
            <charset val="1"/>
          </rPr>
          <t>no effect duty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Hirakawa, H. - Hiroyuki -</author>
  </authors>
  <commentList>
    <comment ref="K2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If you wish add new launguage, please input hear.</t>
        </r>
      </text>
    </comment>
  </commentList>
</comments>
</file>

<file path=xl/sharedStrings.xml><?xml version="1.0" encoding="utf-8"?>
<sst xmlns="http://schemas.openxmlformats.org/spreadsheetml/2006/main" count="1178" uniqueCount="803">
  <si>
    <t>Consumables</t>
  </si>
  <si>
    <t>Service</t>
  </si>
  <si>
    <t>Inktank size</t>
  </si>
  <si>
    <t>Inktank street price</t>
  </si>
  <si>
    <t>Inktank price per ml</t>
  </si>
  <si>
    <t>Paper length</t>
  </si>
  <si>
    <t>Paper street price</t>
  </si>
  <si>
    <t>Inktank product</t>
  </si>
  <si>
    <t>MC street price</t>
  </si>
  <si>
    <t>Printhead street price</t>
  </si>
  <si>
    <t>ESP street price</t>
  </si>
  <si>
    <t>ESP per month</t>
  </si>
  <si>
    <t>Ink consumption</t>
  </si>
  <si>
    <t>Print size</t>
  </si>
  <si>
    <t>Printer</t>
  </si>
  <si>
    <t>Labour per hour</t>
  </si>
  <si>
    <t>Model</t>
  </si>
  <si>
    <t>Initial installation cost(HW etc)</t>
  </si>
  <si>
    <t>MAX power consumption</t>
  </si>
  <si>
    <t>Poster design cost</t>
  </si>
  <si>
    <t>Print quantitiy</t>
  </si>
  <si>
    <t>iPF6400SE</t>
  </si>
  <si>
    <t>A1</t>
  </si>
  <si>
    <t>Standard</t>
  </si>
  <si>
    <t>Printing time(sec)</t>
  </si>
  <si>
    <t>Paper type</t>
  </si>
  <si>
    <t>Coated paper</t>
  </si>
  <si>
    <t>automatic</t>
  </si>
  <si>
    <t>Sales/Customer input</t>
  </si>
  <si>
    <t>Print quality</t>
  </si>
  <si>
    <t>ESP contract term(month)</t>
  </si>
  <si>
    <t>Printing time per month</t>
  </si>
  <si>
    <t>Electricity charge per Month</t>
  </si>
  <si>
    <t>Monthly Cost</t>
  </si>
  <si>
    <t>Ink</t>
  </si>
  <si>
    <t>Printhead</t>
  </si>
  <si>
    <t>Media</t>
  </si>
  <si>
    <t>MC</t>
  </si>
  <si>
    <t>Ink usage per month</t>
  </si>
  <si>
    <t>Media usage per month</t>
  </si>
  <si>
    <t>Total</t>
  </si>
  <si>
    <t>Paper Width</t>
  </si>
  <si>
    <t>Paper Width(m)</t>
  </si>
  <si>
    <t>Print area per month</t>
  </si>
  <si>
    <t>Paper price per m2</t>
  </si>
  <si>
    <t>Paper width</t>
  </si>
  <si>
    <t>Paper m2</t>
  </si>
  <si>
    <t>A2</t>
  </si>
  <si>
    <t>A0</t>
  </si>
  <si>
    <t>Duty</t>
  </si>
  <si>
    <t>Base duty</t>
  </si>
  <si>
    <t>Current cost</t>
  </si>
  <si>
    <t>Other cost</t>
  </si>
  <si>
    <t>Labour</t>
  </si>
  <si>
    <t>Remark</t>
  </si>
  <si>
    <t>Euro</t>
  </si>
  <si>
    <t>Paper loss ratio</t>
  </si>
  <si>
    <t>New workflow with Canon iPF</t>
  </si>
  <si>
    <t>Print Job</t>
  </si>
  <si>
    <t>Print Size</t>
  </si>
  <si>
    <t>Hardware</t>
  </si>
  <si>
    <t>Initial cost(HW, installation etc)</t>
  </si>
  <si>
    <t>Consumables/Service</t>
  </si>
  <si>
    <t>Basic setting</t>
  </si>
  <si>
    <t>Paper Length</t>
  </si>
  <si>
    <t>Currency</t>
  </si>
  <si>
    <t>Paper Price(1roll)</t>
  </si>
  <si>
    <t>Printhead Price(1pc)</t>
  </si>
  <si>
    <t>Maintenance Cartridge Price(1pc)</t>
  </si>
  <si>
    <t>Service Contract(ESP) Price</t>
  </si>
  <si>
    <t>Service Contract(ESP) Length</t>
  </si>
  <si>
    <t>Other</t>
  </si>
  <si>
    <t>Labour cost per hour</t>
  </si>
  <si>
    <t>Outsourcing</t>
  </si>
  <si>
    <t>Tank size</t>
  </si>
  <si>
    <t>iPF610</t>
  </si>
  <si>
    <t>iPF6400S</t>
  </si>
  <si>
    <t>Explanation</t>
  </si>
  <si>
    <t>5colour, 24inch machine</t>
  </si>
  <si>
    <t>5colour, 24inch machine with HDD</t>
  </si>
  <si>
    <t>8colour, 44inch machine</t>
  </si>
  <si>
    <t>8colour, 24inch machine</t>
  </si>
  <si>
    <t>6colour, 24inch machine</t>
  </si>
  <si>
    <t>5colour, 44inch machine</t>
  </si>
  <si>
    <t>5colour, 36inch machine</t>
  </si>
  <si>
    <t>5colour, 36inch machine with HDD</t>
  </si>
  <si>
    <t>A4</t>
  </si>
  <si>
    <t>A3</t>
  </si>
  <si>
    <t>5colour, 24inch machine with Cassette</t>
  </si>
  <si>
    <t>€</t>
  </si>
  <si>
    <t>Dansk Krone</t>
  </si>
  <si>
    <t>Norsk Krone</t>
  </si>
  <si>
    <t>Svensk Krone</t>
  </si>
  <si>
    <t>Swiss Franc</t>
  </si>
  <si>
    <t>US Dolloar</t>
  </si>
  <si>
    <t>$</t>
  </si>
  <si>
    <t>Turkish Lira</t>
  </si>
  <si>
    <t>Polish Zloty</t>
  </si>
  <si>
    <t>Czech Koruna</t>
  </si>
  <si>
    <t>Hungarian Forint</t>
  </si>
  <si>
    <t>Mark</t>
  </si>
  <si>
    <t>South African Rand</t>
  </si>
  <si>
    <t>Israeli Shekel</t>
  </si>
  <si>
    <t>ILS</t>
  </si>
  <si>
    <t>Icelandic Krona</t>
  </si>
  <si>
    <t>British Pound</t>
  </si>
  <si>
    <t>For calculating labour cost for printing with iPF</t>
  </si>
  <si>
    <t>Fill and/or select the numbers in the table below(Red high-lighted)</t>
  </si>
  <si>
    <t>Canon Printer Model</t>
  </si>
  <si>
    <t>Paper m</t>
  </si>
  <si>
    <t>40cm x 60cm</t>
  </si>
  <si>
    <t>60cm x 80cm</t>
  </si>
  <si>
    <t>80cm x 100cm</t>
  </si>
  <si>
    <t>120cm x 176cm</t>
  </si>
  <si>
    <t>Poster Design cost</t>
  </si>
  <si>
    <t>Printing cost</t>
  </si>
  <si>
    <t>Electricity charge</t>
  </si>
  <si>
    <t>Current flow</t>
  </si>
  <si>
    <t>New flow(iPF)</t>
  </si>
  <si>
    <t>ROI Comparison</t>
  </si>
  <si>
    <t>Current</t>
  </si>
  <si>
    <t>New</t>
  </si>
  <si>
    <t>Poster Design Cost</t>
  </si>
  <si>
    <t>Outsourcing Printing</t>
  </si>
  <si>
    <t>Maintenance Cartridge</t>
  </si>
  <si>
    <t>Labour for printing</t>
  </si>
  <si>
    <t>-</t>
  </si>
  <si>
    <t>Lead Time</t>
  </si>
  <si>
    <t>diff</t>
  </si>
  <si>
    <t>Printing at your indicated volume, your investment in the Canon product would be repaid within</t>
  </si>
  <si>
    <t>Diff</t>
  </si>
  <si>
    <t>Printing cost - Per month (B)</t>
  </si>
  <si>
    <t>Poster Design cost - Per month (A)</t>
  </si>
  <si>
    <t>Electricity charge per kW/h</t>
  </si>
  <si>
    <t>Electricity charge per kWh</t>
  </si>
  <si>
    <t>£</t>
  </si>
  <si>
    <t>Default</t>
  </si>
  <si>
    <t>Needed to set by model</t>
  </si>
  <si>
    <t>Automatic calculation</t>
  </si>
  <si>
    <t>Paper printable area per roll(m2)</t>
  </si>
  <si>
    <t>Print job</t>
  </si>
  <si>
    <t>Print area per job</t>
  </si>
  <si>
    <t>Power consumption per month</t>
  </si>
  <si>
    <t>Print job per month</t>
  </si>
  <si>
    <t>Cottage(Standard)</t>
  </si>
  <si>
    <t>N5 data(Standard)</t>
  </si>
  <si>
    <t>MC lifetime</t>
  </si>
  <si>
    <t>Size for service infromation</t>
  </si>
  <si>
    <t>MC cost per size</t>
  </si>
  <si>
    <t>Printhead lifetime</t>
  </si>
  <si>
    <t>Servise information size</t>
  </si>
  <si>
    <t>Print image</t>
  </si>
  <si>
    <t>Type of print image</t>
  </si>
  <si>
    <t>Cottage</t>
  </si>
  <si>
    <t>Note</t>
  </si>
  <si>
    <t>No.5</t>
  </si>
  <si>
    <t>Lease Expense</t>
  </si>
  <si>
    <t>Inktank Size per color</t>
  </si>
  <si>
    <t>Main</t>
  </si>
  <si>
    <t>From benchmark</t>
  </si>
  <si>
    <t>Transportation/Freight cost - per month ( C )</t>
  </si>
  <si>
    <t>Lease expense - Per month ( D )</t>
  </si>
  <si>
    <t>Total monthly cost (A+B+C+D)</t>
  </si>
  <si>
    <t>Transportation</t>
  </si>
  <si>
    <t>Transportation/Freight cost</t>
  </si>
  <si>
    <t>Date</t>
  </si>
  <si>
    <t>Release</t>
  </si>
  <si>
    <t>Contents</t>
  </si>
  <si>
    <t>Author</t>
  </si>
  <si>
    <t>ROI Calculator Release History Table (from older to newer)</t>
  </si>
  <si>
    <t>HIRO HIRAKAWA</t>
  </si>
  <si>
    <t>Current Workflow (Outsourcing)</t>
  </si>
  <si>
    <t>Changed duty for N5/Cottage</t>
  </si>
  <si>
    <t>Updated some description</t>
  </si>
  <si>
    <t>CAD drawing</t>
  </si>
  <si>
    <t>selected image</t>
  </si>
  <si>
    <t>Current time</t>
  </si>
  <si>
    <t>New time</t>
  </si>
  <si>
    <t>(Coated paper)</t>
  </si>
  <si>
    <t>(Plain paper)</t>
  </si>
  <si>
    <t>Image and paper</t>
  </si>
  <si>
    <t>Type of paper</t>
  </si>
  <si>
    <t>Plain paper</t>
  </si>
  <si>
    <t>Image</t>
  </si>
  <si>
    <t>English</t>
  </si>
  <si>
    <t>Flujo de impresión actual (Externalizado)</t>
  </si>
  <si>
    <t>Input</t>
  </si>
  <si>
    <t>sheet</t>
  </si>
  <si>
    <t>Please select your currency</t>
  </si>
  <si>
    <t>Please select your preffered print size</t>
  </si>
  <si>
    <t>Launguage</t>
  </si>
  <si>
    <t>Sheet name</t>
  </si>
  <si>
    <t>Nuevo Flujo de Impresión con Canon iPF</t>
  </si>
  <si>
    <t>Observación</t>
  </si>
  <si>
    <t>Trabajo de Impresión</t>
  </si>
  <si>
    <t>Tamaño de impresión</t>
  </si>
  <si>
    <t>Tipo de Imagen</t>
  </si>
  <si>
    <t>Rellene y / o seleccionar los números en la tabla de abajo (Rojo)</t>
  </si>
  <si>
    <t>Hojas</t>
  </si>
  <si>
    <t>Por favor selecciona el tamaño más utilizado</t>
  </si>
  <si>
    <t>Externalizado</t>
  </si>
  <si>
    <t>Coste de diseño del Cartel- por mes (A)</t>
  </si>
  <si>
    <t>Coste de impresión - por mes (B)</t>
  </si>
  <si>
    <t>Gastos adicionales - por mes (D)</t>
  </si>
  <si>
    <t>Ajustes básicos</t>
  </si>
  <si>
    <t>Moneda</t>
  </si>
  <si>
    <t>Seleccione su moneda</t>
  </si>
  <si>
    <t>Modelo de Impresora Canon</t>
  </si>
  <si>
    <t>Coste Inicial (HW, instalación etc)</t>
  </si>
  <si>
    <t>Consumibles/Servicio</t>
  </si>
  <si>
    <t>Tamaño del cartucho de tinta  por color</t>
  </si>
  <si>
    <t>Ancho del papel</t>
  </si>
  <si>
    <t>Longitud de papel</t>
  </si>
  <si>
    <t>Precio de papel (1rollo)</t>
  </si>
  <si>
    <t>Precio de Cabezal de impresión(1pc)</t>
  </si>
  <si>
    <t>Precio de cassette de mantenimiento (1pc)</t>
  </si>
  <si>
    <t>Contraro de Servicio (ESP) Precio</t>
  </si>
  <si>
    <t>Contrato de Servicio (ESP) Duración</t>
  </si>
  <si>
    <t>Otros</t>
  </si>
  <si>
    <t>Coste laboral por hora</t>
  </si>
  <si>
    <t>Coste de electricidad por kW / h</t>
  </si>
  <si>
    <t>Utilizado para el cálculo de los costes laborales para la impresión con iPF</t>
  </si>
  <si>
    <t>Result</t>
  </si>
  <si>
    <t>Current Workflow and New Workflow with Canon</t>
  </si>
  <si>
    <t>You can save</t>
  </si>
  <si>
    <t>% less than current workflow)</t>
  </si>
  <si>
    <t>Lead time</t>
  </si>
  <si>
    <t>% of current waiting time</t>
  </si>
  <si>
    <t>ROI</t>
  </si>
  <si>
    <t>*Investment cost for Canon</t>
  </si>
  <si>
    <t>is</t>
  </si>
  <si>
    <t>month</t>
  </si>
  <si>
    <t xml:space="preserve">* This is only an advisory estimation based on Canon internal testing with the N5/Cottage image as specified above. </t>
  </si>
  <si>
    <t>Actual cost will depend on the customers actual image, choice of actual media and actual printing condition.</t>
  </si>
  <si>
    <t>Condition</t>
  </si>
  <si>
    <t>No. of print per month</t>
  </si>
  <si>
    <t>Media type</t>
  </si>
  <si>
    <t>Printing mode : Standard</t>
  </si>
  <si>
    <t>ROI Comparativa</t>
  </si>
  <si>
    <t>Coste Mensual</t>
  </si>
  <si>
    <t>Usted puede ahorrar</t>
  </si>
  <si>
    <t>por mes</t>
  </si>
  <si>
    <t>% menos que el flujo de trabajo actual)</t>
  </si>
  <si>
    <t>Actual</t>
  </si>
  <si>
    <t>Nuevo</t>
  </si>
  <si>
    <t>Coste de diseño cartel</t>
  </si>
  <si>
    <t>Externalizar impresión</t>
  </si>
  <si>
    <t>Coste transporte/paquete</t>
  </si>
  <si>
    <t>Costes adicionales</t>
  </si>
  <si>
    <t>Tinta</t>
  </si>
  <si>
    <t>Cabezal de impresión</t>
  </si>
  <si>
    <t>Papel</t>
  </si>
  <si>
    <t>Cassette mantenimiento</t>
  </si>
  <si>
    <t>Servicio</t>
  </si>
  <si>
    <t>Coste laboral de impresión</t>
  </si>
  <si>
    <t>Coste electricidad</t>
  </si>
  <si>
    <t>Tiempo de entrega</t>
  </si>
  <si>
    <t>Un ahorro del</t>
  </si>
  <si>
    <t>% del tiempo de espera actual</t>
  </si>
  <si>
    <t>Con el actual volumen de impresión, su inversión en el producto Canon se amortizará dentro de</t>
  </si>
  <si>
    <t>mes</t>
  </si>
  <si>
    <t>El coste de inversión de la Canon</t>
  </si>
  <si>
    <t>es de</t>
  </si>
  <si>
    <t xml:space="preserve">* Estimación informativa  basada en las pruebas internas de Canon con la imagen N.º5/Cabaña indicada anteriormente. </t>
  </si>
  <si>
    <t>El coste real dependerá de la imagen en cuestión del cliente, la elección de sustrato y las condiciones reales de impresión.</t>
  </si>
  <si>
    <t>Condición</t>
  </si>
  <si>
    <t xml:space="preserve">N.º de impresiones por mes: </t>
  </si>
  <si>
    <t>Modo de impresión : Standard</t>
  </si>
  <si>
    <t>Tipo de papel</t>
  </si>
  <si>
    <t>Imagen Tipo</t>
  </si>
  <si>
    <t>Table</t>
  </si>
  <si>
    <t>5 colores, 24 pulgadas equipo</t>
  </si>
  <si>
    <t>5 colores, 24 pulgadas equipo con Cassette</t>
  </si>
  <si>
    <t>5 colores, 24 pulgadas equipo con HDD</t>
  </si>
  <si>
    <t>5 colores, 36 pulgadas equipo</t>
  </si>
  <si>
    <t>5 colores, 36 pulgadas equipo con HDD</t>
  </si>
  <si>
    <t>5 colores, 44 pulgadas equipo</t>
  </si>
  <si>
    <t>6 colores, 24 pulgadas equipo</t>
  </si>
  <si>
    <t>8 colores, 24 pulgadas equipo</t>
  </si>
  <si>
    <t>8 colores, 44 pulgadas equipo</t>
  </si>
  <si>
    <t>Foto/Cartel</t>
  </si>
  <si>
    <t xml:space="preserve">Dibujo CAD </t>
  </si>
  <si>
    <t>Currency in</t>
  </si>
  <si>
    <t>Moneda en</t>
  </si>
  <si>
    <t>Coste total mensual(A+B+C+D)</t>
  </si>
  <si>
    <t>Coste de transporte/paquete - por mes (C)</t>
  </si>
  <si>
    <t>Master</t>
  </si>
  <si>
    <t xml:space="preserve">per month </t>
  </si>
  <si>
    <t>Month</t>
  </si>
  <si>
    <t>monthly</t>
  </si>
  <si>
    <t>Mes</t>
  </si>
  <si>
    <t>Mes 1
(compra)</t>
  </si>
  <si>
    <t>Month1
(purchase)</t>
  </si>
  <si>
    <t>in the first year</t>
  </si>
  <si>
    <t>en el primer año</t>
  </si>
  <si>
    <t>hours</t>
  </si>
  <si>
    <t>haras</t>
  </si>
  <si>
    <t>days</t>
  </si>
  <si>
    <t>dias</t>
  </si>
  <si>
    <t>Time to receive from order(days)</t>
  </si>
  <si>
    <t>Tiempo de entrega desde el pedido(dias)</t>
  </si>
  <si>
    <t>Number of Prints (sheet per month)</t>
  </si>
  <si>
    <t>Número de Impresiones (hojas por mes)</t>
  </si>
  <si>
    <t>Papel normal</t>
  </si>
  <si>
    <t>Papel estucado</t>
  </si>
  <si>
    <t>ISO JIS SCID No.5</t>
  </si>
  <si>
    <t>Cottage (*Esta imagen solo esta disponible para iPF 5 colores)</t>
  </si>
  <si>
    <t>Español</t>
  </si>
  <si>
    <t>Aktueller Workflow mit Outsourcing</t>
  </si>
  <si>
    <t>Neuer Workflow mit Canon iPF</t>
  </si>
  <si>
    <t>Währung in</t>
  </si>
  <si>
    <t>Zahlen in nachstehender Tabelle eintragen und/oder auswählen (rot hervorgehobene Zellen)</t>
  </si>
  <si>
    <t>Druckauftrag</t>
  </si>
  <si>
    <t>Ausgabegröße</t>
  </si>
  <si>
    <t>Typ des Druckbilds</t>
  </si>
  <si>
    <t>Blatt</t>
  </si>
  <si>
    <t>Kosten für Plakatgestaltung – pro Monat (A)</t>
  </si>
  <si>
    <t>Druckkosten – pro Monat (B)</t>
  </si>
  <si>
    <t>Leasingkosten – pro Monat (D)</t>
  </si>
  <si>
    <t>Monatliche Gesamtkosten (A+B+C+D)</t>
  </si>
  <si>
    <t>Transport/Frachtkosten – pro Monat ( C )</t>
  </si>
  <si>
    <t>Basisszenario</t>
  </si>
  <si>
    <t>Währung</t>
  </si>
  <si>
    <t xml:space="preserve"> Währung auswählen</t>
  </si>
  <si>
    <t>Bemerkung</t>
  </si>
  <si>
    <t>Anschaffungskosten (HW, Installation usw.)</t>
  </si>
  <si>
    <t>Verbrauchsmaterial/Service</t>
  </si>
  <si>
    <t>Größe des Tintentanks je Farbe</t>
  </si>
  <si>
    <t>Papierbreite</t>
  </si>
  <si>
    <t>Papierlänge</t>
  </si>
  <si>
    <t>Papierpreis (1 Rolle)</t>
  </si>
  <si>
    <t>Preis für Druckkopf (1 Stk.)</t>
  </si>
  <si>
    <t>Preis für Wartungseinschub (1 Stk.)</t>
  </si>
  <si>
    <t>Servicevertrag (ESP) – Preis</t>
  </si>
  <si>
    <t>Servicevertrag (ESP) – Dauer</t>
  </si>
  <si>
    <t>Sonstiges</t>
  </si>
  <si>
    <t>Arbeitskosten pro Stunde</t>
  </si>
  <si>
    <t>Stromkosten pro kW/h</t>
  </si>
  <si>
    <t>Zur Berechnung der Arbeitskosten für den Druck mit iPF</t>
  </si>
  <si>
    <t>Vergleich der Kapitalrendite</t>
  </si>
  <si>
    <t>Aktueller Workflow und neuer Workflow mit Canon</t>
  </si>
  <si>
    <t>Monatliche Kosten</t>
  </si>
  <si>
    <t>Sie sparen</t>
  </si>
  <si>
    <t>pro Monat</t>
  </si>
  <si>
    <t>% des aktuellen Workflows)</t>
  </si>
  <si>
    <t>Aktuell</t>
  </si>
  <si>
    <t>Neu</t>
  </si>
  <si>
    <t>Kosten für Plakatgestaltung</t>
  </si>
  <si>
    <t>Druck-Outsourcing</t>
  </si>
  <si>
    <t>Transport-/Frachtkosten</t>
  </si>
  <si>
    <t>Leasing-Kosten</t>
  </si>
  <si>
    <t>Tinte</t>
  </si>
  <si>
    <t>Druckkopf</t>
  </si>
  <si>
    <t>Medien</t>
  </si>
  <si>
    <t>Wartungseinschub</t>
  </si>
  <si>
    <t>Arbeitskosten für Druck</t>
  </si>
  <si>
    <t>Stromkosten</t>
  </si>
  <si>
    <t>Durchlaufzeit</t>
  </si>
  <si>
    <t>% verkürzt</t>
  </si>
  <si>
    <t>Die aktuelle Wartezeit wird um</t>
  </si>
  <si>
    <t>Kapitalrendite</t>
  </si>
  <si>
    <t>Beim angegebenen Druckvolumen amortisiert sich die Investition in das Canon-Produkt innerhalb von</t>
  </si>
  <si>
    <t>*Investitionskosten für Canon</t>
  </si>
  <si>
    <t>:</t>
  </si>
  <si>
    <t>sparen.</t>
  </si>
  <si>
    <t xml:space="preserve">* Schätzung auf der Grundlage von internen Tests bei Canon mit dem oben angegebenen Bild „N5/Cottage“. </t>
  </si>
  <si>
    <t>Die tatsächlichen Kosten sind abhängig vom tatsächlich verwendeten Bild, von den Druckmedien und den Druckbedingungen beim Kunden.</t>
  </si>
  <si>
    <t>Monat</t>
  </si>
  <si>
    <t>Monat 1
(kauf)</t>
  </si>
  <si>
    <t>Bedingungen</t>
  </si>
  <si>
    <t>Anzahl der Drucke pro Monat</t>
  </si>
  <si>
    <t>Druckmodus: Standard</t>
  </si>
  <si>
    <t>Druckmedientyp</t>
  </si>
  <si>
    <t>Druckbild</t>
  </si>
  <si>
    <t>6colour, 24 Zoll machine</t>
  </si>
  <si>
    <t>8colour, 24 Zoll machine</t>
  </si>
  <si>
    <t>Nr.5</t>
  </si>
  <si>
    <t>Beschichtetes Papier</t>
  </si>
  <si>
    <t>Normalpapier</t>
  </si>
  <si>
    <t>Flux de production actuel (externalisé)</t>
  </si>
  <si>
    <t>Nouveau flux de production avec Canon iPF</t>
  </si>
  <si>
    <t>Devise en</t>
  </si>
  <si>
    <t>Indiquez et/ou sélectionnez les chiffres dans le tableau suivant (cellules en rouge).</t>
  </si>
  <si>
    <t>Travail d'impression</t>
  </si>
  <si>
    <t>Format d’impression</t>
  </si>
  <si>
    <t>Type d'image imprimée</t>
  </si>
  <si>
    <t>Feuilles</t>
  </si>
  <si>
    <t>Externalisation</t>
  </si>
  <si>
    <t>Coût de création de poster - par mois (A)</t>
  </si>
  <si>
    <t>Coût d'impression - par mois (B)</t>
  </si>
  <si>
    <t>Coût de transport/fret - par mois (C)</t>
  </si>
  <si>
    <t>Frais de leasing - par mois (D)</t>
  </si>
  <si>
    <t>Coût total mensuel (A+B+C+D)</t>
  </si>
  <si>
    <t>Mise en page de base</t>
  </si>
  <si>
    <t>Devise</t>
  </si>
  <si>
    <t xml:space="preserve"> Sélectionnez la devise de votre choix.</t>
  </si>
  <si>
    <t>Remarque</t>
  </si>
  <si>
    <t>Matériel</t>
  </si>
  <si>
    <t>Modèle d'imprimante Canon</t>
  </si>
  <si>
    <t>Coût initial (matériel, installation, etc.)</t>
  </si>
  <si>
    <t>Consommables / Service</t>
  </si>
  <si>
    <t>Contenance du réservoir d'encre par couleur</t>
  </si>
  <si>
    <t>Largeur papier</t>
  </si>
  <si>
    <t>Longueur papier</t>
  </si>
  <si>
    <t>Prix du papier (1 rouleau)</t>
  </si>
  <si>
    <t>Prix de la tête d'impression (à l'unité)</t>
  </si>
  <si>
    <t>Prix de la cartouche de maintenance (à l'unité)</t>
  </si>
  <si>
    <t>Prix du contrat d'entretien (ESP)</t>
  </si>
  <si>
    <t>Durée du contrat d'entretien (ESP)</t>
  </si>
  <si>
    <t>Autre</t>
  </si>
  <si>
    <t>Coût de main d’œuvre par heure</t>
  </si>
  <si>
    <t>Frais d'électricité par kW/h</t>
  </si>
  <si>
    <t>Pour calculer le coût de la main d'œuvre pour l'impression avec iPF</t>
  </si>
  <si>
    <t>Comparaison du retour sur investissement</t>
  </si>
  <si>
    <t>Vous pouvez économiser</t>
  </si>
  <si>
    <t>Flux de production actuel et nouveau flux de production avec Canon</t>
  </si>
  <si>
    <t>Coût mensuel</t>
  </si>
  <si>
    <t>par mois</t>
  </si>
  <si>
    <t>% de moins que flux de production actuel)</t>
  </si>
  <si>
    <t>Nouveau</t>
  </si>
  <si>
    <t>Actuel</t>
  </si>
  <si>
    <t>Coût de création de poster</t>
  </si>
  <si>
    <t>Impression externalisée</t>
  </si>
  <si>
    <t>Coût de transport/fret</t>
  </si>
  <si>
    <t>Frais de leasing</t>
  </si>
  <si>
    <t>Encre</t>
  </si>
  <si>
    <t>Tête d'impression</t>
  </si>
  <si>
    <t>Supports</t>
  </si>
  <si>
    <t>Cartouche de maintenance</t>
  </si>
  <si>
    <t>Entretien</t>
  </si>
  <si>
    <t>Main d'œuvre pour l'impression</t>
  </si>
  <si>
    <t>Frais d'électricité</t>
  </si>
  <si>
    <t>Délai d'exécution</t>
  </si>
  <si>
    <t>Vous pouvez gagner</t>
  </si>
  <si>
    <t>% du temps d'attente actuel.</t>
  </si>
  <si>
    <t>Retour sur investissement</t>
  </si>
  <si>
    <t>Pour les volumes d'impression que vous avez indiqués, votre investissement dans le produit Canon serait remboursé en</t>
  </si>
  <si>
    <t>mois</t>
  </si>
  <si>
    <t>*Coût d'investissement pour l'imprimante Canon</t>
  </si>
  <si>
    <t>au cours de la première année.</t>
  </si>
  <si>
    <t>* Ceci n'est qu'une estimation indicative basée sur les essais internes de Canon avec l'image N5/Cottage  comme spécifiée ci-dessus.</t>
  </si>
  <si>
    <t>Le coût réel dépendra de l'image du client, de son choix de support et des conditions réelles d'impression.</t>
  </si>
  <si>
    <t>Conditions </t>
  </si>
  <si>
    <t>Nbre de tirages par mois</t>
  </si>
  <si>
    <t>Tamaño</t>
  </si>
  <si>
    <t>Type de support</t>
  </si>
  <si>
    <t>Image imprimée</t>
  </si>
  <si>
    <t>17"/A2</t>
  </si>
  <si>
    <t>24''/A1</t>
  </si>
  <si>
    <t>31.5"</t>
  </si>
  <si>
    <t>36"/A0</t>
  </si>
  <si>
    <t>42"</t>
  </si>
  <si>
    <t>44"</t>
  </si>
  <si>
    <t>50"</t>
  </si>
  <si>
    <t>60"</t>
  </si>
  <si>
    <t>Imprimante 24", 5 couleurs</t>
  </si>
  <si>
    <t>Imprimante 24", 5 couleurs avec Cassette</t>
  </si>
  <si>
    <t>Imprimante 24", 5 couleurs avec HDD</t>
  </si>
  <si>
    <t>Imprimante 36", 5 couleurs</t>
  </si>
  <si>
    <t>Imprimante 36", 5 couleurs avec HDD</t>
  </si>
  <si>
    <t>Imprimante 44", 5 couleurs</t>
  </si>
  <si>
    <t>Imprimante 24", 6 couleurs</t>
  </si>
  <si>
    <t>Imprimante 24", 8 couleurs</t>
  </si>
  <si>
    <t>Imprimante 44", 8 couleurs</t>
  </si>
  <si>
    <t>CAD dessin</t>
  </si>
  <si>
    <t>Papier couché</t>
  </si>
  <si>
    <t>Papier ordinaire</t>
  </si>
  <si>
    <t>heures</t>
  </si>
  <si>
    <t>jours</t>
  </si>
  <si>
    <t>Nombre de tirages (feuilles par mois)</t>
  </si>
  <si>
    <t>Délai d'exécution de la commande à la réception(jours)</t>
  </si>
  <si>
    <t>Mois</t>
  </si>
  <si>
    <t>Mois 1
(achat)</t>
  </si>
  <si>
    <t>Workflow corrente (outsourcing)</t>
  </si>
  <si>
    <t>Nuovo workflow con Canon iPF</t>
  </si>
  <si>
    <t>Valuta in</t>
  </si>
  <si>
    <t>Compilare i campi e/o selezionare i numeri nella tabella seguente (con una penna rossa)</t>
  </si>
  <si>
    <t>Lavoro di stampa</t>
  </si>
  <si>
    <t>Formato di stampa</t>
  </si>
  <si>
    <t>Tipo di immagine da stampare</t>
  </si>
  <si>
    <t xml:space="preserve"> Selezionare il formato di stampa desiderato</t>
  </si>
  <si>
    <t>fogli</t>
  </si>
  <si>
    <t>Costo di progettazione poster: mensile (A)</t>
  </si>
  <si>
    <t>Costo di stampa: mensile (B)</t>
  </si>
  <si>
    <t>Spese di trasporto/spedizione: mensili (C)</t>
  </si>
  <si>
    <t>Spese di locazione: mensili (D)</t>
  </si>
  <si>
    <t>Costo mensile totale (A+B+C+D)</t>
  </si>
  <si>
    <t>Impostazioni di base</t>
  </si>
  <si>
    <t>Valuta</t>
  </si>
  <si>
    <t xml:space="preserve"> Selezionare la valuta</t>
  </si>
  <si>
    <t>Nota</t>
  </si>
  <si>
    <t>Modello stampante Canon</t>
  </si>
  <si>
    <t>Costo iniziale(HW, installazione ecc.)</t>
  </si>
  <si>
    <t>Consumabili/servizio</t>
  </si>
  <si>
    <t>Dimensione serbatoi di inchiostro per colore</t>
  </si>
  <si>
    <t>Larghezza foglio</t>
  </si>
  <si>
    <t>Lunghezza foglio</t>
  </si>
  <si>
    <t>Costo carta (1 rotolo)</t>
  </si>
  <si>
    <t>Costo testine di stampa (1 pc)</t>
  </si>
  <si>
    <t>Costo cartuccia manutenzione (1 pc)</t>
  </si>
  <si>
    <t>Valore contratto di servizio (ESP)</t>
  </si>
  <si>
    <t>Durata contratto di servizio (ESP)</t>
  </si>
  <si>
    <t>Altro</t>
  </si>
  <si>
    <t>Costo orario della manodopera</t>
  </si>
  <si>
    <t>Costo dell'elettricità per kW/h</t>
  </si>
  <si>
    <t>Per il calcolo del costo della manodopera per lavori di stampa sul modello iPF</t>
  </si>
  <si>
    <t>years</t>
  </si>
  <si>
    <t>anni</t>
  </si>
  <si>
    <t>ans</t>
  </si>
  <si>
    <t>año</t>
  </si>
  <si>
    <t>Confronto ROI</t>
  </si>
  <si>
    <t>Workflow attuale e nuovo workflow con Canon</t>
  </si>
  <si>
    <t>È possibile risparmiare</t>
  </si>
  <si>
    <t>Costo mensile</t>
  </si>
  <si>
    <t>al mese</t>
  </si>
  <si>
    <t>% inferiore di workflow corrente)</t>
  </si>
  <si>
    <t>Attuale</t>
  </si>
  <si>
    <t>Nuovo</t>
  </si>
  <si>
    <t>Costo di progettazione poster</t>
  </si>
  <si>
    <t>Stampa in outsourcing</t>
  </si>
  <si>
    <t>Spese di trasporto/spedizione</t>
  </si>
  <si>
    <t>Spese di locazione</t>
  </si>
  <si>
    <t>Inchiostro</t>
  </si>
  <si>
    <t>Testina di stampa</t>
  </si>
  <si>
    <t>Supporto</t>
  </si>
  <si>
    <t>Cartuccia di manutenzione</t>
  </si>
  <si>
    <t>Servizio di assistenza</t>
  </si>
  <si>
    <t>Costo per la manodopera associato al lavoro di stampa</t>
  </si>
  <si>
    <t>Costo elettricità</t>
  </si>
  <si>
    <t>Tempi di consegna</t>
  </si>
  <si>
    <t>È possibile risparmiare il</t>
  </si>
  <si>
    <t>% rispetto agli attuali tempi di attesa</t>
  </si>
  <si>
    <t>Rispettando i volumi di stampa indicati, l'investimento sul prodotto Canon sarà ripagato entro</t>
  </si>
  <si>
    <t>mesi</t>
  </si>
  <si>
    <t>*Il costo dell'investimento per Canon</t>
  </si>
  <si>
    <t>è pari a</t>
  </si>
  <si>
    <t>dopo il primo anno</t>
  </si>
  <si>
    <t xml:space="preserve">* Si tratta di una stima indicativa formulata sulla base dei risultati ottenuti dai test interni di Canon  eseguiti con l'immagine N5/Cottage come specificato sopra. </t>
  </si>
  <si>
    <t>Il costo effettivo dipenderà dalla qualità dell'immagine ottenuta dal cliente, dalla scelta del supporto e dalle condizioni di stampa.</t>
  </si>
  <si>
    <t>Condizioni</t>
  </si>
  <si>
    <t>Volume di stampa mensile</t>
  </si>
  <si>
    <t>Modalità di stampa: Standard</t>
  </si>
  <si>
    <t>Tipo di supporto</t>
  </si>
  <si>
    <t>Immagine da stampare</t>
  </si>
  <si>
    <t>CAD disegno</t>
  </si>
  <si>
    <t>ore</t>
  </si>
  <si>
    <t>giorni</t>
  </si>
  <si>
    <t>Carta patinata</t>
  </si>
  <si>
    <t>Carta comune</t>
  </si>
  <si>
    <t>Mesi</t>
  </si>
  <si>
    <t>Mesi 1</t>
  </si>
  <si>
    <t>Huidige workflow (uitbesteding)</t>
  </si>
  <si>
    <t>Nieuwe workflow met Canon iPF</t>
  </si>
  <si>
    <t>Nummers in de onderstaande tabel invullen of selecteren (rood gemarkeerd)</t>
  </si>
  <si>
    <t>Printopdracht</t>
  </si>
  <si>
    <t>Printformaat</t>
  </si>
  <si>
    <t>Type printafbeelding</t>
  </si>
  <si>
    <t>vel</t>
  </si>
  <si>
    <t>Uitbesteding</t>
  </si>
  <si>
    <t>Posterontwerpkosten - per maand (A)</t>
  </si>
  <si>
    <t>Printkosten - per maand (B)</t>
  </si>
  <si>
    <t>Transport-/vrachtkosten - per maand (C)</t>
  </si>
  <si>
    <t>Leasekosten - per maand (D)</t>
  </si>
  <si>
    <t>Totale kosten per maand (A+B+C+D)</t>
  </si>
  <si>
    <t>Basisinstelling</t>
  </si>
  <si>
    <t xml:space="preserve"> Selecteer de gewenste valuta</t>
  </si>
  <si>
    <t>Opmerking</t>
  </si>
  <si>
    <t>Canon-printermodel</t>
  </si>
  <si>
    <t>Initiële kosten (HW, installatie, etc.)</t>
  </si>
  <si>
    <t>Verbruiksmaterialen/Service</t>
  </si>
  <si>
    <t>Formaat inkttank per kleur</t>
  </si>
  <si>
    <t>Papierbreedte</t>
  </si>
  <si>
    <t>Papierlengte</t>
  </si>
  <si>
    <t>Prijs papier (1 rol)</t>
  </si>
  <si>
    <t>Prijs printkop</t>
  </si>
  <si>
    <t>Prijs onderhoudscassette (per stuk)</t>
  </si>
  <si>
    <t>Prijs servicecontract (ESP)</t>
  </si>
  <si>
    <t>Duur servicecontract (ESP)</t>
  </si>
  <si>
    <t>Overige</t>
  </si>
  <si>
    <t>Arbeidskosten per uur</t>
  </si>
  <si>
    <t>Elektriciteitskosten per kW/h</t>
  </si>
  <si>
    <t>Voor berekenen van arbeidskosten bij printen met iPF</t>
  </si>
  <si>
    <t>Vergelijking rendement op investering (ROI)</t>
  </si>
  <si>
    <t>Huidige workflow en nieuwe workflow met Canon</t>
  </si>
  <si>
    <t>Kosten per maand</t>
  </si>
  <si>
    <t>U kunt</t>
  </si>
  <si>
    <t>per maand besparen</t>
  </si>
  <si>
    <t>% minder dan huidige workflow)</t>
  </si>
  <si>
    <t>Huidig</t>
  </si>
  <si>
    <t>Nieuw</t>
  </si>
  <si>
    <t>Posterontwerpkosten</t>
  </si>
  <si>
    <t>Uitbesteding van printen</t>
  </si>
  <si>
    <t>Transport-/vrachtkosten</t>
  </si>
  <si>
    <t>Leasekosten</t>
  </si>
  <si>
    <t>Inkt</t>
  </si>
  <si>
    <t>Printkop</t>
  </si>
  <si>
    <t>Onderhoudscassette</t>
  </si>
  <si>
    <t>Arbeidskosten voor printen</t>
  </si>
  <si>
    <t>Elektriciteitskosten</t>
  </si>
  <si>
    <t>Doorlooptijd</t>
  </si>
  <si>
    <t>Rendement op investering (ROI)</t>
  </si>
  <si>
    <t>Met het aangegeven printvolume, is uw investering in het Canon-product terugbetaald binnen</t>
  </si>
  <si>
    <t>% van uw huidige wachttijd besparen</t>
  </si>
  <si>
    <t>*Investeringskosten voor Canon</t>
  </si>
  <si>
    <t>maand</t>
  </si>
  <si>
    <t>zijn</t>
  </si>
  <si>
    <t>besparen in het eerste jaar</t>
  </si>
  <si>
    <t>* Dit is slechts een indicatieve schatting op basis van interne tests van Canon met de afbeelding N5/Cottage zoals hierboven aangeduid</t>
  </si>
  <si>
    <t>De daadwerkelijke kosten zijn afhankelijk van de gekozen afbeelding, gekozen media en printomstandigheden</t>
  </si>
  <si>
    <t>Printomstandigheden</t>
  </si>
  <si>
    <t>Aantal prints per maand</t>
  </si>
  <si>
    <t>Printmodus: Standaard</t>
  </si>
  <si>
    <t>Mediatype</t>
  </si>
  <si>
    <t>Printafbeelding</t>
  </si>
  <si>
    <t xml:space="preserve">5 kleuren, 24 inch systeem </t>
  </si>
  <si>
    <t>5 kleuren, 24 inch systeem met Cassette</t>
  </si>
  <si>
    <t>5 kleuren, 24 inch systeem met HDD</t>
  </si>
  <si>
    <t xml:space="preserve">5 kleuren, 36 inch systeem </t>
  </si>
  <si>
    <t>5 kleuren, 36 inch systeem met HDD</t>
  </si>
  <si>
    <t xml:space="preserve">5 kleuren, 44 inch systeem </t>
  </si>
  <si>
    <t xml:space="preserve">6 kleuren, 24 inch systeem </t>
  </si>
  <si>
    <t xml:space="preserve">8 kleuren, 24 inch systeem </t>
  </si>
  <si>
    <t xml:space="preserve">8 kleuren, 44 inch systeem </t>
  </si>
  <si>
    <t>Gecoat papier</t>
  </si>
  <si>
    <t>Gewoon papier</t>
  </si>
  <si>
    <t>uur</t>
  </si>
  <si>
    <t>dagen</t>
  </si>
  <si>
    <t>jaar</t>
  </si>
  <si>
    <t>Maand</t>
  </si>
  <si>
    <t>Maand 1
(aankoop)</t>
  </si>
  <si>
    <t>Существующая процедура печати (аутсорсинг)</t>
  </si>
  <si>
    <t>Новая процедура печати с помощью Canon iPF</t>
  </si>
  <si>
    <t>валюта</t>
  </si>
  <si>
    <t>Российский рубль</t>
  </si>
  <si>
    <t>₽</t>
  </si>
  <si>
    <t>Заполните или выберите данные в таблице (ячейки с розовой заливкой)</t>
  </si>
  <si>
    <t>Задание на печать</t>
  </si>
  <si>
    <t>Формат отпечатка</t>
  </si>
  <si>
    <t>Количество отпечатвов в месяц</t>
  </si>
  <si>
    <t>Шаблон изображения для печати</t>
  </si>
  <si>
    <t>Выберите формат печати</t>
  </si>
  <si>
    <t>листов</t>
  </si>
  <si>
    <t>Аутсорсинг</t>
  </si>
  <si>
    <t>Стоимость дизайна в месяц (A)</t>
  </si>
  <si>
    <t>Стоимость печати в месяц (B)</t>
  </si>
  <si>
    <t>Стоимость транспорта / логистики в месяц ( C )</t>
  </si>
  <si>
    <t>Затраты на лизинг в месяц ( D )</t>
  </si>
  <si>
    <t>Общая ежемесячная стоимость (A+B+C+D)</t>
  </si>
  <si>
    <t>Основные настройки</t>
  </si>
  <si>
    <t>Валюта</t>
  </si>
  <si>
    <t>Выберите валюту для расчётов</t>
  </si>
  <si>
    <t>Примечания</t>
  </si>
  <si>
    <t>Оборудование</t>
  </si>
  <si>
    <t>Модель принтера Canon</t>
  </si>
  <si>
    <t>Начальная стоимость (оборудование, установка и т.д.)</t>
  </si>
  <si>
    <t>Расходные  материалы и сервис</t>
  </si>
  <si>
    <t>Объем чернильницы (по каждому цвету)</t>
  </si>
  <si>
    <t>Ширина рулона</t>
  </si>
  <si>
    <t>Длина носителя в рулоне</t>
  </si>
  <si>
    <t>Стоимость носителя (1 рулон)</t>
  </si>
  <si>
    <t>Стоимость печатающей головки  (1 шт.)</t>
  </si>
  <si>
    <t>Картридж для отработанных чернил (1 шт.)</t>
  </si>
  <si>
    <t>Стоимость сервисного контракта (ESP)</t>
  </si>
  <si>
    <t>Срок действия сервисного контракта (ESP)</t>
  </si>
  <si>
    <t>Другое</t>
  </si>
  <si>
    <t>Стоимость работ в час</t>
  </si>
  <si>
    <t>Энергозатраты (КВт/час)</t>
  </si>
  <si>
    <t>Для расчёта стоимости работ при обеспечении печати на iPF</t>
  </si>
  <si>
    <t>дней</t>
  </si>
  <si>
    <t>Расчёт возврата инвестиций</t>
  </si>
  <si>
    <t>Существующая процедура печати по сравнению с собственной печатью на принтере Canon</t>
  </si>
  <si>
    <t>Ежемесячные затраты</t>
  </si>
  <si>
    <t>Экономия</t>
  </si>
  <si>
    <t>в месяц</t>
  </si>
  <si>
    <t>% меньше по сравнению с текущей процедурой)</t>
  </si>
  <si>
    <t>Текущая процедура</t>
  </si>
  <si>
    <t>Новая процедура</t>
  </si>
  <si>
    <t>Стоимость дизайна плаката</t>
  </si>
  <si>
    <t>Аутсорсинг печати</t>
  </si>
  <si>
    <t>Транспорт/логистика</t>
  </si>
  <si>
    <t>Затраты на лизинг</t>
  </si>
  <si>
    <t>Чернила</t>
  </si>
  <si>
    <t>Печатающая головка</t>
  </si>
  <si>
    <t>Носители</t>
  </si>
  <si>
    <t>Впитывающий картридж</t>
  </si>
  <si>
    <t>Обслуживание</t>
  </si>
  <si>
    <t>Стоимость работ</t>
  </si>
  <si>
    <t>Стоимость электроэнергии</t>
  </si>
  <si>
    <t>Время готовности заказа</t>
  </si>
  <si>
    <t>Вы экономите</t>
  </si>
  <si>
    <t>% времени на ожидание заказа</t>
  </si>
  <si>
    <t>Возврат инвестиций</t>
  </si>
  <si>
    <t>Ваши инвестиции при печати указанного объема на оборудовании Canon возвратятся в течение</t>
  </si>
  <si>
    <t>месяцев</t>
  </si>
  <si>
    <t>*Размер инвестиций в Canon</t>
  </si>
  <si>
    <t>составляет</t>
  </si>
  <si>
    <t>Экономия составит</t>
  </si>
  <si>
    <t>в течение 1го года</t>
  </si>
  <si>
    <t>* Данная оценка основана на данных тестовой печати образцов N5/Cottage, проведенной компанией Canon при установках</t>
  </si>
  <si>
    <t>указанных выше. Реальная стоимость печати зависит от фактических изображения, носителя, настроек и условий печати.</t>
  </si>
  <si>
    <t>Установки печати</t>
  </si>
  <si>
    <t>Количество отпечатков в месяц</t>
  </si>
  <si>
    <t>Режим печати : Standard</t>
  </si>
  <si>
    <t xml:space="preserve">Тип носителя </t>
  </si>
  <si>
    <t>5 цветов, 24-дюймовый принтер</t>
  </si>
  <si>
    <t>5 цветов, 24-дюймовый принтер с кассетой подачи</t>
  </si>
  <si>
    <t>5 цветов, 24-дюймовый принтер с жестким диском</t>
  </si>
  <si>
    <t>5 цветов, 36-дюймовый принтер</t>
  </si>
  <si>
    <t>5 цветов, 36-дюймовый принтер с жестким диском</t>
  </si>
  <si>
    <t>5 цветов, 44-дюймовый принтер</t>
  </si>
  <si>
    <t>6 цветов, 24-дюймовый принтер</t>
  </si>
  <si>
    <t>8 цветов, 24-дюймовый принтер</t>
  </si>
  <si>
    <t>8 цветов, 44-дюймовый принтер</t>
  </si>
  <si>
    <t>Чертёж</t>
  </si>
  <si>
    <t>Плакат (ISO JIS SCID No.5)</t>
  </si>
  <si>
    <t>Коттедж (*Данное изображение доступно только для 5-цветных моделей iPF)</t>
  </si>
  <si>
    <t>бумага с покрытием</t>
  </si>
  <si>
    <t>Обычная бумага</t>
  </si>
  <si>
    <t>часов</t>
  </si>
  <si>
    <t>годы</t>
  </si>
  <si>
    <t>Месяц 1
(покупка)</t>
  </si>
  <si>
    <t>Месяц</t>
  </si>
  <si>
    <t>Тип изображения</t>
  </si>
  <si>
    <t>Тип носителя</t>
  </si>
  <si>
    <t>Формат листа</t>
  </si>
  <si>
    <t>ml</t>
  </si>
  <si>
    <t>мл</t>
  </si>
  <si>
    <t>Kč</t>
  </si>
  <si>
    <t>kr.</t>
  </si>
  <si>
    <t>Ft</t>
  </si>
  <si>
    <t>kr</t>
  </si>
  <si>
    <t>zł</t>
  </si>
  <si>
    <t>R</t>
  </si>
  <si>
    <t>Fr</t>
  </si>
  <si>
    <t>₺</t>
  </si>
  <si>
    <t>Deutsch</t>
  </si>
  <si>
    <t>Français</t>
  </si>
  <si>
    <t>Nederlands</t>
  </si>
  <si>
    <t>Русской</t>
  </si>
  <si>
    <t>Italiano</t>
  </si>
  <si>
    <t>Flujo de impresión actual y nuevo flujo de impresión con Canon</t>
  </si>
  <si>
    <t>Tijd tot ontvangst vanaf order(dagen)</t>
  </si>
  <si>
    <t>Срок получения заказа(дней)</t>
  </si>
  <si>
    <t>Sélectionnez le format d'impression de votre choix.</t>
  </si>
  <si>
    <t>Selecteer het gewenste printformaat</t>
  </si>
  <si>
    <t>Bevorzugte Ausgabegröße auswählen</t>
  </si>
  <si>
    <t>Mode d'impression : Standard</t>
  </si>
  <si>
    <t>Printhead cost per ml</t>
  </si>
  <si>
    <t>Service gurantee</t>
  </si>
  <si>
    <t>Tempo di recapito dal momento dell'ordine(giorni)</t>
  </si>
  <si>
    <t>Aantal prints (vel per maand)</t>
  </si>
  <si>
    <t>Numero di stampe (fogli volume mensile)</t>
  </si>
  <si>
    <t>Added iPF830/840/850
Added paper type(plain paper)
Updated parameters for printhead/power consumption</t>
  </si>
  <si>
    <t>Printing image</t>
  </si>
  <si>
    <t>Default(from Service document)</t>
  </si>
  <si>
    <t>Added PRO-4000S</t>
  </si>
  <si>
    <t>Language</t>
  </si>
  <si>
    <t>Sprache</t>
  </si>
  <si>
    <t>TM-200</t>
  </si>
  <si>
    <t>TM-205</t>
  </si>
  <si>
    <t>TM-300</t>
  </si>
  <si>
    <t>TM-305</t>
  </si>
  <si>
    <t>TX-2000</t>
  </si>
  <si>
    <t>TX-3000</t>
  </si>
  <si>
    <t>TX-4000</t>
  </si>
  <si>
    <t>5 Farben, 24 Zoll System mit Kassette</t>
  </si>
  <si>
    <t>5 Farben, 24 Zoll System</t>
  </si>
  <si>
    <t>5-Farb-System 24 Zoll mit Festplatte</t>
  </si>
  <si>
    <t>5 Farben, 36 Zoll System</t>
  </si>
  <si>
    <t>5-Farb-System 36 Zoll mit Festplatte</t>
  </si>
  <si>
    <t>5-Farb-System 44 Zoll mit Festplatte</t>
  </si>
  <si>
    <t>Im ersten Jahr können Sie</t>
  </si>
  <si>
    <t>Monaten</t>
  </si>
  <si>
    <t>Anzahl der Drucke (Blatt pro Monat)</t>
  </si>
  <si>
    <t>Rücklaufdauer ab Bestellung(Tage)</t>
  </si>
  <si>
    <t>Tage</t>
  </si>
  <si>
    <t>Canon Druckermodell</t>
  </si>
  <si>
    <t>Jahre</t>
  </si>
  <si>
    <t>Stunden</t>
  </si>
  <si>
    <t>CAD-Zeichnung</t>
  </si>
  <si>
    <t>Photo (ISO JIS SCID No.5)</t>
  </si>
  <si>
    <t>Photo</t>
  </si>
  <si>
    <t>Foto (ISO JIS SCID Nr.5)</t>
  </si>
  <si>
    <t>Foto</t>
  </si>
  <si>
    <t>Foto (ISO JIS SCID No.5)</t>
  </si>
  <si>
    <t>Photo (ISO JIS SCID Nr. 5)</t>
  </si>
  <si>
    <t>Плакат</t>
  </si>
  <si>
    <t>Коттедж</t>
  </si>
  <si>
    <t xml:space="preserve">CAD-Zeichnung (Cottage) </t>
  </si>
  <si>
    <t>CAD drawing (Cottage)</t>
  </si>
  <si>
    <t>CAD dessin (Cottage)</t>
  </si>
  <si>
    <t>CAD disegno (Cottage)</t>
  </si>
  <si>
    <t>TA-20</t>
  </si>
  <si>
    <t>TA-30</t>
  </si>
  <si>
    <t>5-Farb-Gerät (24 Zoll)</t>
  </si>
  <si>
    <t>5-Farb-Gerät (36 Zoll)</t>
  </si>
  <si>
    <t>Added TX-2000/3000/4000, TM-20x/30x</t>
  </si>
  <si>
    <t>RYO KAWAHARA</t>
  </si>
  <si>
    <t>Added PRO-4100S
Remove iPF610/iPF6400S/iPF6400SE</t>
  </si>
  <si>
    <t>Added TA-20/30</t>
  </si>
  <si>
    <t>PRO-4100S</t>
  </si>
  <si>
    <t>8-Farb-Gerät (44 Zoll)</t>
  </si>
  <si>
    <t>Für A0 bzw. 80x100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</si>
</sst>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-[$€]\ * #,##0.00_-;\-[$€]\ * #,##0.00_-;_-[$€]\ * &quot;-&quot;??_-;_-@_-"/>
    <numFmt numFmtId="165" formatCode="0&quot;ml&quot;"/>
    <numFmt numFmtId="166" formatCode="0&quot;sec&quot;"/>
    <numFmt numFmtId="167" formatCode="0&quot;W&quot;"/>
    <numFmt numFmtId="168" formatCode="[$€-2]\ #,##0;[Red]\-[$€-2]\ #,##0"/>
    <numFmt numFmtId="169" formatCode="[$€-2]\ #,##0.00;[Red]\-[$€-2]\ #,##0.00"/>
    <numFmt numFmtId="170" formatCode="0&quot;month&quot;"/>
    <numFmt numFmtId="171" formatCode="0&quot;m&quot;"/>
    <numFmt numFmtId="172" formatCode="0&quot;hour&quot;"/>
    <numFmt numFmtId="173" formatCode="[$€-2]\ #,##0.00"/>
    <numFmt numFmtId="174" formatCode="0.00&quot;m2&quot;"/>
    <numFmt numFmtId="175" formatCode="0.00&quot;ml&quot;"/>
    <numFmt numFmtId="176" formatCode="0&quot;sheet&quot;"/>
    <numFmt numFmtId="177" formatCode="[$€-2]\ #,##0&quot;/h&quot;"/>
    <numFmt numFmtId="178" formatCode="_ * #,##0.00_ ;_ * \-#,##0.00_ ;_ * &quot;-&quot;??_ ;_ @_ "/>
    <numFmt numFmtId="179" formatCode="_ * #,##0_ ;_ * \-#,##0_ ;_ * &quot;-&quot;??_ ;_ @_ "/>
    <numFmt numFmtId="180" formatCode="0&quot; m&quot;"/>
    <numFmt numFmtId="181" formatCode="#,##0&quot; sheet&quot;"/>
    <numFmt numFmtId="182" formatCode="0.00&quot;m&quot;"/>
    <numFmt numFmtId="183" formatCode="0.000"/>
    <numFmt numFmtId="184" formatCode="0&quot; hours&quot;"/>
    <numFmt numFmtId="185" formatCode="0\ &quot;months&quot;"/>
    <numFmt numFmtId="186" formatCode="0.00&quot; kW/h&quot;"/>
    <numFmt numFmtId="187" formatCode="[$€-2]\ #,##0.00&quot;/kWh&quot;"/>
    <numFmt numFmtId="188" formatCode="0.0"/>
    <numFmt numFmtId="189" formatCode="[$€-2]\ #,##0.0"/>
    <numFmt numFmtId="190" formatCode="0.0&quot;kW&quot;"/>
  </numFmts>
  <fonts count="53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b/>
      <sz val="9"/>
      <color indexed="81"/>
      <name val="ＭＳ Ｐゴシック"/>
      <charset val="1"/>
    </font>
    <font>
      <sz val="10"/>
      <name val="Century Gothic"/>
      <family val="2"/>
    </font>
    <font>
      <b/>
      <sz val="14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9"/>
      <color theme="3" tint="-0.249977111117893"/>
      <name val="Century Gothic"/>
      <family val="2"/>
    </font>
    <font>
      <sz val="8"/>
      <color theme="0" tint="-0.499984740745262"/>
      <name val="Century Gothic"/>
      <family val="2"/>
    </font>
    <font>
      <b/>
      <i/>
      <sz val="9"/>
      <name val="Century Gothic"/>
      <family val="2"/>
    </font>
    <font>
      <i/>
      <sz val="9"/>
      <color theme="3" tint="-0.249977111117893"/>
      <name val="Century Gothic"/>
      <family val="2"/>
    </font>
    <font>
      <b/>
      <i/>
      <sz val="8"/>
      <name val="Century Gothic"/>
      <family val="2"/>
    </font>
    <font>
      <sz val="9"/>
      <color theme="3" tint="0.39997558519241921"/>
      <name val="Century Gothic"/>
      <family val="2"/>
    </font>
    <font>
      <sz val="8"/>
      <color theme="3" tint="0.39997558519241921"/>
      <name val="Century Gothic"/>
      <family val="2"/>
    </font>
    <font>
      <b/>
      <u/>
      <sz val="9"/>
      <name val="Century Gothic"/>
      <family val="2"/>
    </font>
    <font>
      <b/>
      <sz val="12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8"/>
      <color rgb="FF0070C0"/>
      <name val="Century Gothic"/>
      <family val="2"/>
    </font>
    <font>
      <sz val="10"/>
      <color rgb="FFFF0000"/>
      <name val="Century Gothic"/>
      <family val="2"/>
    </font>
    <font>
      <sz val="10"/>
      <color theme="9" tint="-0.249977111117893"/>
      <name val="Century Gothic"/>
      <family val="2"/>
    </font>
    <font>
      <sz val="10"/>
      <color theme="0" tint="-0.499984740745262"/>
      <name val="Century Gothic"/>
      <family val="2"/>
    </font>
    <font>
      <sz val="9"/>
      <color theme="0" tint="-0.34998626667073579"/>
      <name val="Century Gothic"/>
      <family val="2"/>
    </font>
    <font>
      <b/>
      <u/>
      <sz val="12"/>
      <color rgb="FFCC0000"/>
      <name val="Century Gothic"/>
      <family val="2"/>
    </font>
    <font>
      <sz val="10"/>
      <color rgb="FF0070C0"/>
      <name val="Century Gothic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0"/>
      <color rgb="FFFF0000"/>
      <name val="Tahoma"/>
      <family val="2"/>
    </font>
    <font>
      <b/>
      <sz val="10"/>
      <name val="Century Gothic"/>
      <family val="2"/>
    </font>
    <font>
      <b/>
      <sz val="10"/>
      <color theme="9" tint="-0.249977111117893"/>
      <name val="Century Gothic"/>
      <family val="2"/>
    </font>
    <font>
      <b/>
      <u/>
      <sz val="10"/>
      <name val="Century Gothic"/>
      <family val="2"/>
    </font>
    <font>
      <b/>
      <sz val="10"/>
      <color rgb="FFCC0000"/>
      <name val="Century Gothic"/>
      <family val="2"/>
    </font>
    <font>
      <u/>
      <sz val="10"/>
      <name val="Century Gothic"/>
      <family val="2"/>
    </font>
    <font>
      <b/>
      <sz val="16"/>
      <color rgb="FFCC0000"/>
      <name val="Century Gothic"/>
      <family val="2"/>
    </font>
    <font>
      <b/>
      <u/>
      <sz val="14"/>
      <name val="Century Gothic"/>
      <family val="2"/>
    </font>
    <font>
      <b/>
      <sz val="14"/>
      <color rgb="FFCC0000"/>
      <name val="Century Gothic"/>
      <family val="2"/>
    </font>
    <font>
      <b/>
      <sz val="14"/>
      <color rgb="FF0070C0"/>
      <name val="Century Gothic"/>
      <family val="2"/>
    </font>
    <font>
      <sz val="8"/>
      <name val="Arial"/>
      <family val="2"/>
    </font>
    <font>
      <b/>
      <sz val="22"/>
      <name val="Century Gothic"/>
      <family val="2"/>
    </font>
    <font>
      <b/>
      <sz val="16"/>
      <name val="Century Gothic"/>
      <family val="2"/>
    </font>
    <font>
      <b/>
      <sz val="9"/>
      <color theme="0"/>
      <name val="Century Gothic"/>
      <family val="2"/>
    </font>
    <font>
      <b/>
      <sz val="10"/>
      <color theme="0"/>
      <name val="Century Gothic"/>
      <family val="2"/>
    </font>
    <font>
      <b/>
      <sz val="20"/>
      <name val="Century Gothic"/>
      <family val="2"/>
    </font>
    <font>
      <b/>
      <sz val="16"/>
      <color theme="4"/>
      <name val="Century Gothic"/>
      <family val="2"/>
    </font>
    <font>
      <sz val="11"/>
      <color theme="4"/>
      <name val="Century Gothic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sz val="10"/>
      <color theme="1"/>
      <name val="Tahoma"/>
      <family val="2"/>
    </font>
    <font>
      <sz val="10"/>
      <color theme="1"/>
      <name val="Century Gothic"/>
      <family val="2"/>
    </font>
    <font>
      <sz val="9"/>
      <color theme="0"/>
      <name val="Century Gothic"/>
      <family val="2"/>
    </font>
  </fonts>
  <fills count="2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96363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5D9F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0" tint="-0.24994659260841701"/>
      </bottom>
      <diagonal/>
    </border>
    <border>
      <left/>
      <right/>
      <top style="thin">
        <color theme="1" tint="0.499984740745262"/>
      </top>
      <bottom style="thin">
        <color theme="0" tint="-0.24994659260841701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0" tint="-0.24994659260841701"/>
      </bottom>
      <diagonal/>
    </border>
    <border>
      <left style="thin">
        <color theme="1" tint="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1" tint="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499984740745262"/>
      </left>
      <right/>
      <top style="thin">
        <color theme="0" tint="-0.24994659260841701"/>
      </top>
      <bottom style="thin">
        <color theme="1" tint="0.499984740745262"/>
      </bottom>
      <diagonal/>
    </border>
    <border>
      <left/>
      <right/>
      <top style="thin">
        <color theme="0" tint="-0.24994659260841701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0" tint="-0.24994659260841701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168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4" fontId="5" fillId="0" borderId="0" xfId="0" applyNumberFormat="1" applyFont="1" applyAlignment="1">
      <alignment horizontal="center" vertical="center"/>
    </xf>
    <xf numFmtId="171" fontId="5" fillId="2" borderId="0" xfId="0" applyNumberFormat="1" applyFont="1" applyFill="1" applyAlignment="1">
      <alignment horizontal="center" vertical="center"/>
    </xf>
    <xf numFmtId="176" fontId="5" fillId="0" borderId="0" xfId="0" applyNumberFormat="1" applyFont="1"/>
    <xf numFmtId="170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72" fontId="5" fillId="0" borderId="0" xfId="0" applyNumberFormat="1" applyFont="1" applyAlignment="1">
      <alignment horizontal="center" vertical="center"/>
    </xf>
    <xf numFmtId="177" fontId="5" fillId="2" borderId="0" xfId="0" applyNumberFormat="1" applyFont="1" applyFill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73" fontId="5" fillId="0" borderId="0" xfId="0" applyNumberFormat="1" applyFont="1"/>
    <xf numFmtId="0" fontId="1" fillId="5" borderId="7" xfId="0" applyFont="1" applyFill="1" applyBorder="1"/>
    <xf numFmtId="0" fontId="1" fillId="5" borderId="8" xfId="0" applyFont="1" applyFill="1" applyBorder="1"/>
    <xf numFmtId="0" fontId="1" fillId="5" borderId="16" xfId="0" applyFont="1" applyFill="1" applyBorder="1"/>
    <xf numFmtId="0" fontId="0" fillId="5" borderId="7" xfId="0" applyFill="1" applyBorder="1"/>
    <xf numFmtId="0" fontId="0" fillId="5" borderId="8" xfId="0" applyFill="1" applyBorder="1"/>
    <xf numFmtId="0" fontId="1" fillId="5" borderId="1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171" fontId="5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38" fontId="5" fillId="0" borderId="0" xfId="0" applyNumberFormat="1" applyFont="1" applyFill="1" applyBorder="1" applyAlignment="1">
      <alignment vertical="center"/>
    </xf>
    <xf numFmtId="3" fontId="5" fillId="0" borderId="0" xfId="0" applyNumberFormat="1" applyFont="1"/>
    <xf numFmtId="38" fontId="5" fillId="0" borderId="0" xfId="0" applyNumberFormat="1" applyFont="1"/>
    <xf numFmtId="0" fontId="21" fillId="0" borderId="0" xfId="0" applyFont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3" xfId="0" applyFont="1" applyBorder="1"/>
    <xf numFmtId="38" fontId="5" fillId="0" borderId="13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1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38" fontId="7" fillId="0" borderId="18" xfId="0" applyNumberFormat="1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38" fontId="7" fillId="0" borderId="21" xfId="0" applyNumberFormat="1" applyFont="1" applyBorder="1" applyAlignment="1">
      <alignment vertical="center"/>
    </xf>
    <xf numFmtId="38" fontId="7" fillId="0" borderId="21" xfId="0" applyNumberFormat="1" applyFont="1" applyBorder="1" applyAlignment="1">
      <alignment horizontal="right" vertical="center"/>
    </xf>
    <xf numFmtId="0" fontId="23" fillId="8" borderId="20" xfId="0" applyFont="1" applyFill="1" applyBorder="1" applyAlignment="1">
      <alignment vertical="center"/>
    </xf>
    <xf numFmtId="0" fontId="5" fillId="9" borderId="20" xfId="0" applyFont="1" applyFill="1" applyBorder="1" applyAlignment="1">
      <alignment vertical="center"/>
    </xf>
    <xf numFmtId="0" fontId="5" fillId="10" borderId="20" xfId="0" applyFont="1" applyFill="1" applyBorder="1" applyAlignment="1">
      <alignment vertical="center"/>
    </xf>
    <xf numFmtId="0" fontId="5" fillId="11" borderId="20" xfId="0" applyFont="1" applyFill="1" applyBorder="1" applyAlignment="1">
      <alignment vertical="center"/>
    </xf>
    <xf numFmtId="0" fontId="5" fillId="7" borderId="23" xfId="0" applyFont="1" applyFill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38" fontId="7" fillId="0" borderId="24" xfId="0" applyNumberFormat="1" applyFont="1" applyBorder="1" applyAlignment="1">
      <alignment horizontal="right" vertical="center"/>
    </xf>
    <xf numFmtId="38" fontId="7" fillId="0" borderId="18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0" xfId="0" applyFont="1" applyAlignment="1">
      <alignment horizontal="right"/>
    </xf>
    <xf numFmtId="184" fontId="5" fillId="0" borderId="0" xfId="0" applyNumberFormat="1" applyFont="1"/>
    <xf numFmtId="187" fontId="5" fillId="2" borderId="0" xfId="0" applyNumberFormat="1" applyFont="1" applyFill="1" applyAlignment="1">
      <alignment horizontal="center" vertical="center"/>
    </xf>
    <xf numFmtId="0" fontId="5" fillId="3" borderId="0" xfId="0" applyFont="1" applyFill="1"/>
    <xf numFmtId="168" fontId="5" fillId="3" borderId="0" xfId="0" applyNumberFormat="1" applyFont="1" applyFill="1" applyAlignment="1">
      <alignment horizontal="center"/>
    </xf>
    <xf numFmtId="0" fontId="5" fillId="13" borderId="0" xfId="0" applyFont="1" applyFill="1" applyAlignment="1">
      <alignment horizontal="center" vertical="center"/>
    </xf>
    <xf numFmtId="165" fontId="5" fillId="13" borderId="0" xfId="0" applyNumberFormat="1" applyFont="1" applyFill="1" applyAlignment="1">
      <alignment horizontal="center" vertical="center"/>
    </xf>
    <xf numFmtId="9" fontId="5" fillId="13" borderId="0" xfId="0" applyNumberFormat="1" applyFont="1" applyFill="1" applyAlignment="1">
      <alignment horizontal="center"/>
    </xf>
    <xf numFmtId="174" fontId="5" fillId="12" borderId="0" xfId="0" applyNumberFormat="1" applyFont="1" applyFill="1" applyAlignment="1">
      <alignment horizontal="center" vertical="center"/>
    </xf>
    <xf numFmtId="167" fontId="5" fillId="14" borderId="0" xfId="0" applyNumberFormat="1" applyFont="1" applyFill="1" applyAlignment="1">
      <alignment horizontal="center" vertical="center"/>
    </xf>
    <xf numFmtId="0" fontId="22" fillId="0" borderId="0" xfId="0" applyFont="1"/>
    <xf numFmtId="169" fontId="5" fillId="12" borderId="0" xfId="0" applyNumberFormat="1" applyFont="1" applyFill="1" applyAlignment="1">
      <alignment horizontal="center" vertical="center"/>
    </xf>
    <xf numFmtId="176" fontId="5" fillId="14" borderId="0" xfId="0" applyNumberFormat="1" applyFont="1" applyFill="1" applyAlignment="1">
      <alignment horizontal="center" vertical="center"/>
    </xf>
    <xf numFmtId="182" fontId="5" fillId="12" borderId="0" xfId="0" applyNumberFormat="1" applyFont="1" applyFill="1" applyAlignment="1">
      <alignment horizontal="center" vertical="center"/>
    </xf>
    <xf numFmtId="182" fontId="5" fillId="0" borderId="0" xfId="0" applyNumberFormat="1" applyFont="1"/>
    <xf numFmtId="175" fontId="5" fillId="14" borderId="0" xfId="0" applyNumberFormat="1" applyFont="1" applyFill="1" applyAlignment="1">
      <alignment horizontal="center" vertical="center"/>
    </xf>
    <xf numFmtId="9" fontId="5" fillId="13" borderId="0" xfId="0" applyNumberFormat="1" applyFont="1" applyFill="1" applyAlignment="1">
      <alignment horizontal="center" vertical="center"/>
    </xf>
    <xf numFmtId="166" fontId="5" fillId="14" borderId="0" xfId="0" applyNumberFormat="1" applyFont="1" applyFill="1" applyAlignment="1">
      <alignment horizontal="center" vertical="center"/>
    </xf>
    <xf numFmtId="0" fontId="5" fillId="14" borderId="0" xfId="0" applyFont="1" applyFill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175" fontId="5" fillId="15" borderId="0" xfId="0" applyNumberFormat="1" applyFont="1" applyFill="1" applyAlignment="1">
      <alignment horizontal="center" vertical="center"/>
    </xf>
    <xf numFmtId="166" fontId="5" fillId="15" borderId="0" xfId="0" applyNumberFormat="1" applyFont="1" applyFill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8" fontId="5" fillId="2" borderId="27" xfId="0" applyNumberFormat="1" applyFont="1" applyFill="1" applyBorder="1" applyAlignment="1">
      <alignment horizontal="center" vertical="center"/>
    </xf>
    <xf numFmtId="167" fontId="5" fillId="0" borderId="27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69" fontId="5" fillId="0" borderId="27" xfId="0" applyNumberFormat="1" applyFont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182" fontId="5" fillId="0" borderId="27" xfId="0" applyNumberFormat="1" applyFont="1" applyBorder="1" applyAlignment="1">
      <alignment horizontal="center" vertical="center"/>
    </xf>
    <xf numFmtId="171" fontId="5" fillId="2" borderId="27" xfId="0" applyNumberFormat="1" applyFont="1" applyFill="1" applyBorder="1" applyAlignment="1">
      <alignment horizontal="center" vertical="center"/>
    </xf>
    <xf numFmtId="9" fontId="5" fillId="0" borderId="27" xfId="0" applyNumberFormat="1" applyFont="1" applyBorder="1" applyAlignment="1">
      <alignment horizontal="center"/>
    </xf>
    <xf numFmtId="174" fontId="5" fillId="0" borderId="27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9" fontId="5" fillId="0" borderId="27" xfId="2" applyFont="1" applyBorder="1" applyAlignment="1">
      <alignment horizontal="center" vertical="center"/>
    </xf>
    <xf numFmtId="170" fontId="5" fillId="2" borderId="27" xfId="0" applyNumberFormat="1" applyFont="1" applyFill="1" applyBorder="1" applyAlignment="1">
      <alignment horizontal="center" vertical="center"/>
    </xf>
    <xf numFmtId="166" fontId="5" fillId="0" borderId="27" xfId="0" applyNumberFormat="1" applyFont="1" applyBorder="1" applyAlignment="1">
      <alignment horizontal="center" vertical="center"/>
    </xf>
    <xf numFmtId="9" fontId="5" fillId="0" borderId="27" xfId="0" applyNumberFormat="1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71" fontId="5" fillId="0" borderId="27" xfId="0" applyNumberFormat="1" applyFont="1" applyFill="1" applyBorder="1" applyAlignment="1">
      <alignment horizontal="center" vertical="center"/>
    </xf>
    <xf numFmtId="172" fontId="5" fillId="0" borderId="27" xfId="0" applyNumberFormat="1" applyFont="1" applyBorder="1" applyAlignment="1">
      <alignment horizontal="center" vertical="center"/>
    </xf>
    <xf numFmtId="177" fontId="5" fillId="2" borderId="27" xfId="0" applyNumberFormat="1" applyFont="1" applyFill="1" applyBorder="1" applyAlignment="1">
      <alignment horizontal="center" vertical="center"/>
    </xf>
    <xf numFmtId="187" fontId="5" fillId="2" borderId="27" xfId="0" applyNumberFormat="1" applyFont="1" applyFill="1" applyBorder="1" applyAlignment="1">
      <alignment horizontal="center" vertical="center"/>
    </xf>
    <xf numFmtId="168" fontId="5" fillId="0" borderId="27" xfId="0" applyNumberFormat="1" applyFont="1" applyBorder="1" applyAlignment="1">
      <alignment horizontal="center" vertical="center"/>
    </xf>
    <xf numFmtId="168" fontId="5" fillId="3" borderId="27" xfId="0" applyNumberFormat="1" applyFont="1" applyFill="1" applyBorder="1" applyAlignment="1">
      <alignment horizontal="center"/>
    </xf>
    <xf numFmtId="168" fontId="5" fillId="2" borderId="28" xfId="0" applyNumberFormat="1" applyFont="1" applyFill="1" applyBorder="1" applyAlignment="1">
      <alignment horizontal="center" vertical="center"/>
    </xf>
    <xf numFmtId="165" fontId="5" fillId="2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27" fillId="0" borderId="0" xfId="0" applyFont="1"/>
    <xf numFmtId="0" fontId="5" fillId="12" borderId="0" xfId="0" applyFont="1" applyFill="1" applyAlignment="1">
      <alignment horizontal="center" vertical="center"/>
    </xf>
    <xf numFmtId="175" fontId="5" fillId="12" borderId="0" xfId="0" applyNumberFormat="1" applyFont="1" applyFill="1" applyAlignment="1">
      <alignment horizontal="center" vertical="center"/>
    </xf>
    <xf numFmtId="166" fontId="5" fillId="12" borderId="0" xfId="0" applyNumberFormat="1" applyFont="1" applyFill="1" applyAlignment="1">
      <alignment horizontal="center" vertical="center"/>
    </xf>
    <xf numFmtId="9" fontId="5" fillId="14" borderId="0" xfId="2" applyFont="1" applyFill="1" applyAlignment="1">
      <alignment horizontal="center" vertical="center"/>
    </xf>
    <xf numFmtId="0" fontId="5" fillId="6" borderId="20" xfId="0" applyFont="1" applyFill="1" applyBorder="1" applyAlignment="1">
      <alignment vertical="center"/>
    </xf>
    <xf numFmtId="0" fontId="5" fillId="5" borderId="20" xfId="0" applyFont="1" applyFill="1" applyBorder="1" applyAlignment="1">
      <alignment vertical="center"/>
    </xf>
    <xf numFmtId="0" fontId="1" fillId="0" borderId="0" xfId="0" applyFont="1"/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15" fontId="1" fillId="0" borderId="31" xfId="0" applyNumberFormat="1" applyFont="1" applyBorder="1" applyAlignment="1">
      <alignment horizontal="center" vertical="center" wrapText="1"/>
    </xf>
    <xf numFmtId="188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5" fontId="0" fillId="0" borderId="31" xfId="0" applyNumberFormat="1" applyBorder="1" applyAlignment="1">
      <alignment horizontal="center" vertical="center" wrapText="1"/>
    </xf>
    <xf numFmtId="15" fontId="1" fillId="0" borderId="31" xfId="0" applyNumberFormat="1" applyFont="1" applyBorder="1" applyAlignment="1">
      <alignment horizontal="center" vertical="top" wrapText="1"/>
    </xf>
    <xf numFmtId="188" fontId="1" fillId="0" borderId="12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" fontId="5" fillId="0" borderId="0" xfId="0" applyNumberFormat="1" applyFont="1"/>
    <xf numFmtId="0" fontId="5" fillId="14" borderId="27" xfId="0" applyFont="1" applyFill="1" applyBorder="1" applyAlignment="1">
      <alignment horizontal="center" vertical="center"/>
    </xf>
    <xf numFmtId="175" fontId="5" fillId="14" borderId="27" xfId="0" applyNumberFormat="1" applyFont="1" applyFill="1" applyBorder="1" applyAlignment="1">
      <alignment horizontal="center" vertical="center"/>
    </xf>
    <xf numFmtId="166" fontId="5" fillId="14" borderId="27" xfId="0" applyNumberFormat="1" applyFont="1" applyFill="1" applyBorder="1" applyAlignment="1">
      <alignment horizontal="center" vertical="center"/>
    </xf>
    <xf numFmtId="9" fontId="5" fillId="14" borderId="27" xfId="2" applyFont="1" applyFill="1" applyBorder="1" applyAlignment="1">
      <alignment horizontal="center" vertical="center"/>
    </xf>
    <xf numFmtId="0" fontId="1" fillId="12" borderId="9" xfId="0" applyFont="1" applyFill="1" applyBorder="1"/>
    <xf numFmtId="182" fontId="2" fillId="12" borderId="10" xfId="0" applyNumberFormat="1" applyFont="1" applyFill="1" applyBorder="1" applyAlignment="1">
      <alignment horizontal="center" vertical="center"/>
    </xf>
    <xf numFmtId="165" fontId="2" fillId="12" borderId="0" xfId="0" applyNumberFormat="1" applyFont="1" applyFill="1" applyBorder="1" applyAlignment="1">
      <alignment horizontal="center" vertical="center"/>
    </xf>
    <xf numFmtId="165" fontId="2" fillId="12" borderId="10" xfId="0" applyNumberFormat="1" applyFont="1" applyFill="1" applyBorder="1" applyAlignment="1">
      <alignment horizontal="left" vertical="center"/>
    </xf>
    <xf numFmtId="174" fontId="2" fillId="12" borderId="10" xfId="0" applyNumberFormat="1" applyFont="1" applyFill="1" applyBorder="1" applyAlignment="1">
      <alignment horizontal="center" vertical="center"/>
    </xf>
    <xf numFmtId="0" fontId="0" fillId="12" borderId="9" xfId="0" applyFill="1" applyBorder="1"/>
    <xf numFmtId="0" fontId="0" fillId="12" borderId="0" xfId="0" applyFill="1" applyBorder="1" applyAlignment="1">
      <alignment horizontal="center"/>
    </xf>
    <xf numFmtId="0" fontId="0" fillId="12" borderId="10" xfId="0" applyFill="1" applyBorder="1"/>
    <xf numFmtId="0" fontId="1" fillId="12" borderId="0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" fillId="16" borderId="0" xfId="0" applyFont="1" applyFill="1" applyAlignment="1">
      <alignment vertical="center"/>
    </xf>
    <xf numFmtId="0" fontId="29" fillId="12" borderId="9" xfId="0" applyFont="1" applyFill="1" applyBorder="1"/>
    <xf numFmtId="165" fontId="30" fillId="12" borderId="0" xfId="0" applyNumberFormat="1" applyFont="1" applyFill="1" applyBorder="1" applyAlignment="1">
      <alignment horizontal="center" vertical="center"/>
    </xf>
    <xf numFmtId="165" fontId="30" fillId="12" borderId="10" xfId="0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5" fillId="0" borderId="1" xfId="0" applyFont="1" applyBorder="1"/>
    <xf numFmtId="169" fontId="5" fillId="0" borderId="32" xfId="0" applyNumberFormat="1" applyFont="1" applyBorder="1" applyAlignment="1">
      <alignment horizontal="center" vertical="center"/>
    </xf>
    <xf numFmtId="169" fontId="5" fillId="12" borderId="1" xfId="0" applyNumberFormat="1" applyFont="1" applyFill="1" applyBorder="1" applyAlignment="1">
      <alignment horizontal="center" vertical="center"/>
    </xf>
    <xf numFmtId="9" fontId="5" fillId="14" borderId="32" xfId="2" applyFont="1" applyFill="1" applyBorder="1" applyAlignment="1">
      <alignment horizontal="center" vertical="center"/>
    </xf>
    <xf numFmtId="9" fontId="5" fillId="14" borderId="1" xfId="2" applyFont="1" applyFill="1" applyBorder="1" applyAlignment="1">
      <alignment horizontal="center" vertical="center"/>
    </xf>
    <xf numFmtId="0" fontId="32" fillId="0" borderId="0" xfId="0" applyFont="1"/>
    <xf numFmtId="0" fontId="5" fillId="0" borderId="0" xfId="0" applyFont="1" applyBorder="1"/>
    <xf numFmtId="0" fontId="5" fillId="0" borderId="16" xfId="0" applyFont="1" applyBorder="1"/>
    <xf numFmtId="0" fontId="1" fillId="5" borderId="33" xfId="0" applyFont="1" applyFill="1" applyBorder="1"/>
    <xf numFmtId="0" fontId="1" fillId="12" borderId="34" xfId="0" applyFont="1" applyFill="1" applyBorder="1"/>
    <xf numFmtId="0" fontId="1" fillId="12" borderId="0" xfId="0" applyFont="1" applyFill="1" applyBorder="1" applyAlignment="1">
      <alignment horizontal="left"/>
    </xf>
    <xf numFmtId="0" fontId="1" fillId="12" borderId="0" xfId="0" applyFont="1" applyFill="1" applyBorder="1" applyAlignment="1">
      <alignment vertical="center"/>
    </xf>
    <xf numFmtId="175" fontId="5" fillId="0" borderId="27" xfId="0" applyNumberFormat="1" applyFont="1" applyFill="1" applyBorder="1" applyAlignment="1">
      <alignment horizontal="center" vertical="center"/>
    </xf>
    <xf numFmtId="9" fontId="7" fillId="0" borderId="27" xfId="2" applyFont="1" applyFill="1" applyBorder="1" applyAlignment="1">
      <alignment horizontal="left" vertical="center"/>
    </xf>
    <xf numFmtId="9" fontId="5" fillId="17" borderId="0" xfId="2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12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12" borderId="10" xfId="0" applyFont="1" applyFill="1" applyBorder="1" applyAlignment="1">
      <alignment vertical="center"/>
    </xf>
    <xf numFmtId="0" fontId="1" fillId="12" borderId="10" xfId="0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vertical="center" wrapText="1"/>
    </xf>
    <xf numFmtId="0" fontId="5" fillId="0" borderId="35" xfId="0" applyFont="1" applyBorder="1" applyAlignment="1">
      <alignment horizontal="right" vertical="center" wrapText="1"/>
    </xf>
    <xf numFmtId="0" fontId="34" fillId="0" borderId="35" xfId="0" applyFont="1" applyBorder="1" applyAlignment="1">
      <alignment vertical="center" wrapText="1"/>
    </xf>
    <xf numFmtId="0" fontId="31" fillId="0" borderId="35" xfId="0" applyFont="1" applyBorder="1" applyAlignment="1">
      <alignment vertical="center" wrapText="1"/>
    </xf>
    <xf numFmtId="0" fontId="24" fillId="0" borderId="35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" fontId="5" fillId="12" borderId="11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 vertical="center"/>
    </xf>
    <xf numFmtId="174" fontId="2" fillId="12" borderId="0" xfId="0" applyNumberFormat="1" applyFont="1" applyFill="1" applyBorder="1" applyAlignment="1">
      <alignment horizontal="left" vertical="center"/>
    </xf>
    <xf numFmtId="174" fontId="2" fillId="12" borderId="0" xfId="0" applyNumberFormat="1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vertical="center" wrapText="1"/>
    </xf>
    <xf numFmtId="165" fontId="5" fillId="14" borderId="0" xfId="0" applyNumberFormat="1" applyFont="1" applyFill="1" applyAlignment="1">
      <alignment horizontal="center" vertical="center"/>
    </xf>
    <xf numFmtId="189" fontId="5" fillId="0" borderId="27" xfId="0" applyNumberFormat="1" applyFont="1" applyBorder="1" applyAlignment="1">
      <alignment horizontal="center" vertical="center"/>
    </xf>
    <xf numFmtId="189" fontId="5" fillId="0" borderId="0" xfId="0" applyNumberFormat="1" applyFont="1" applyAlignment="1">
      <alignment horizontal="center" vertical="center"/>
    </xf>
    <xf numFmtId="190" fontId="5" fillId="0" borderId="27" xfId="0" applyNumberFormat="1" applyFont="1" applyBorder="1" applyAlignment="1">
      <alignment horizontal="center" vertical="center"/>
    </xf>
    <xf numFmtId="190" fontId="5" fillId="0" borderId="0" xfId="0" applyNumberFormat="1" applyFont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top" wrapText="1"/>
    </xf>
    <xf numFmtId="1" fontId="5" fillId="12" borderId="12" xfId="0" applyNumberFormat="1" applyFont="1" applyFill="1" applyBorder="1" applyAlignment="1">
      <alignment horizontal="left"/>
    </xf>
    <xf numFmtId="0" fontId="40" fillId="0" borderId="0" xfId="0" applyFont="1"/>
    <xf numFmtId="1" fontId="43" fillId="18" borderId="4" xfId="3" applyNumberFormat="1" applyFont="1" applyFill="1" applyBorder="1" applyAlignment="1" applyProtection="1">
      <alignment vertical="center"/>
      <protection locked="0"/>
    </xf>
    <xf numFmtId="186" fontId="43" fillId="18" borderId="4" xfId="3" applyNumberFormat="1" applyFont="1" applyFill="1" applyBorder="1" applyAlignment="1" applyProtection="1">
      <alignment vertical="center"/>
      <protection locked="0"/>
    </xf>
    <xf numFmtId="179" fontId="43" fillId="18" borderId="4" xfId="4" applyNumberFormat="1" applyFont="1" applyFill="1" applyBorder="1" applyAlignment="1" applyProtection="1">
      <alignment vertical="center"/>
      <protection locked="0"/>
    </xf>
    <xf numFmtId="179" fontId="43" fillId="18" borderId="3" xfId="4" applyNumberFormat="1" applyFont="1" applyFill="1" applyBorder="1" applyAlignment="1" applyProtection="1">
      <alignment horizontal="right" vertical="center"/>
      <protection locked="0"/>
    </xf>
    <xf numFmtId="180" fontId="43" fillId="18" borderId="4" xfId="4" applyNumberFormat="1" applyFont="1" applyFill="1" applyBorder="1" applyAlignment="1" applyProtection="1">
      <alignment vertical="center"/>
      <protection locked="0"/>
    </xf>
    <xf numFmtId="3" fontId="43" fillId="18" borderId="4" xfId="3" applyNumberFormat="1" applyFont="1" applyFill="1" applyBorder="1" applyAlignment="1" applyProtection="1">
      <alignment vertical="center"/>
      <protection locked="0"/>
    </xf>
    <xf numFmtId="179" fontId="43" fillId="18" borderId="3" xfId="4" applyNumberFormat="1" applyFont="1" applyFill="1" applyBorder="1" applyAlignment="1" applyProtection="1">
      <alignment horizontal="center" vertical="center"/>
      <protection locked="0"/>
    </xf>
    <xf numFmtId="3" fontId="43" fillId="18" borderId="4" xfId="4" applyNumberFormat="1" applyFont="1" applyFill="1" applyBorder="1" applyAlignment="1" applyProtection="1">
      <alignment horizontal="center" vertical="center"/>
      <protection locked="0"/>
    </xf>
    <xf numFmtId="181" fontId="43" fillId="18" borderId="4" xfId="4" applyNumberFormat="1" applyFont="1" applyFill="1" applyBorder="1" applyAlignment="1" applyProtection="1">
      <alignment horizontal="center" vertical="center"/>
      <protection locked="0"/>
    </xf>
    <xf numFmtId="1" fontId="43" fillId="18" borderId="6" xfId="4" applyNumberFormat="1" applyFont="1" applyFill="1" applyBorder="1" applyAlignment="1" applyProtection="1">
      <alignment vertical="center"/>
      <protection locked="0"/>
    </xf>
    <xf numFmtId="179" fontId="43" fillId="18" borderId="6" xfId="4" applyNumberFormat="1" applyFont="1" applyFill="1" applyBorder="1" applyAlignment="1" applyProtection="1">
      <alignment vertical="center"/>
      <protection locked="0"/>
    </xf>
    <xf numFmtId="179" fontId="43" fillId="18" borderId="14" xfId="4" applyNumberFormat="1" applyFont="1" applyFill="1" applyBorder="1" applyAlignment="1" applyProtection="1">
      <alignment vertical="center"/>
      <protection locked="0"/>
    </xf>
    <xf numFmtId="2" fontId="5" fillId="0" borderId="0" xfId="3" applyNumberFormat="1" applyFont="1" applyFill="1" applyBorder="1" applyAlignment="1" applyProtection="1">
      <alignment vertical="center"/>
    </xf>
    <xf numFmtId="0" fontId="5" fillId="0" borderId="0" xfId="3" applyFont="1" applyFill="1" applyBorder="1" applyAlignment="1" applyProtection="1">
      <alignment vertical="center"/>
    </xf>
    <xf numFmtId="0" fontId="5" fillId="0" borderId="10" xfId="3" applyFont="1" applyFill="1" applyBorder="1" applyAlignment="1" applyProtection="1">
      <alignment vertical="center"/>
    </xf>
    <xf numFmtId="0" fontId="5" fillId="0" borderId="0" xfId="3" applyFont="1" applyFill="1" applyBorder="1" applyProtection="1"/>
    <xf numFmtId="0" fontId="8" fillId="0" borderId="0" xfId="3" applyFont="1" applyFill="1" applyBorder="1" applyAlignment="1" applyProtection="1">
      <alignment horizontal="right"/>
    </xf>
    <xf numFmtId="0" fontId="8" fillId="0" borderId="0" xfId="3" applyFont="1" applyFill="1" applyAlignment="1" applyProtection="1">
      <alignment horizontal="right"/>
    </xf>
    <xf numFmtId="0" fontId="15" fillId="0" borderId="0" xfId="3" applyFont="1" applyBorder="1" applyAlignment="1" applyProtection="1">
      <alignment horizontal="left" vertical="center"/>
    </xf>
    <xf numFmtId="0" fontId="16" fillId="0" borderId="1" xfId="3" applyFont="1" applyBorder="1" applyAlignment="1" applyProtection="1">
      <alignment horizontal="left" vertical="center"/>
    </xf>
    <xf numFmtId="0" fontId="8" fillId="0" borderId="1" xfId="3" applyFont="1" applyBorder="1" applyAlignment="1" applyProtection="1">
      <alignment vertical="center"/>
    </xf>
    <xf numFmtId="0" fontId="9" fillId="0" borderId="1" xfId="3" applyFont="1" applyBorder="1" applyAlignment="1" applyProtection="1">
      <alignment vertical="center"/>
    </xf>
    <xf numFmtId="0" fontId="18" fillId="0" borderId="1" xfId="3" applyFont="1" applyBorder="1" applyAlignment="1" applyProtection="1">
      <alignment horizontal="left" vertical="center"/>
    </xf>
    <xf numFmtId="0" fontId="8" fillId="0" borderId="10" xfId="3" applyFont="1" applyBorder="1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9" fillId="0" borderId="1" xfId="3" applyFont="1" applyBorder="1" applyAlignment="1" applyProtection="1">
      <alignment horizontal="left"/>
    </xf>
    <xf numFmtId="0" fontId="8" fillId="0" borderId="1" xfId="3" applyFont="1" applyBorder="1" applyProtection="1"/>
    <xf numFmtId="0" fontId="18" fillId="0" borderId="1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18" fillId="0" borderId="0" xfId="3" applyFont="1" applyBorder="1" applyAlignment="1" applyProtection="1">
      <alignment vertical="center"/>
    </xf>
    <xf numFmtId="0" fontId="8" fillId="0" borderId="2" xfId="3" applyFont="1" applyFill="1" applyBorder="1" applyAlignment="1" applyProtection="1">
      <alignment vertical="center"/>
    </xf>
    <xf numFmtId="0" fontId="8" fillId="0" borderId="0" xfId="3" applyFont="1" applyBorder="1" applyAlignment="1" applyProtection="1">
      <alignment horizontal="left" vertical="center"/>
    </xf>
    <xf numFmtId="179" fontId="10" fillId="19" borderId="3" xfId="4" applyNumberFormat="1" applyFont="1" applyFill="1" applyBorder="1" applyAlignment="1" applyProtection="1">
      <alignment horizontal="center" vertical="center"/>
    </xf>
    <xf numFmtId="3" fontId="10" fillId="19" borderId="4" xfId="4" applyNumberFormat="1" applyFont="1" applyFill="1" applyBorder="1" applyAlignment="1" applyProtection="1">
      <alignment horizontal="center" vertical="center"/>
    </xf>
    <xf numFmtId="0" fontId="17" fillId="0" borderId="0" xfId="3" applyFont="1" applyBorder="1" applyAlignment="1" applyProtection="1">
      <alignment vertical="center"/>
    </xf>
    <xf numFmtId="0" fontId="0" fillId="0" borderId="0" xfId="0" applyProtection="1"/>
    <xf numFmtId="0" fontId="18" fillId="0" borderId="0" xfId="3" applyFont="1" applyBorder="1" applyProtection="1"/>
    <xf numFmtId="0" fontId="8" fillId="0" borderId="0" xfId="3" applyFont="1" applyBorder="1" applyProtection="1"/>
    <xf numFmtId="0" fontId="10" fillId="0" borderId="0" xfId="3" applyFont="1" applyBorder="1" applyAlignment="1" applyProtection="1">
      <alignment horizontal="right" vertical="center"/>
    </xf>
    <xf numFmtId="0" fontId="8" fillId="0" borderId="2" xfId="3" applyFont="1" applyFill="1" applyBorder="1" applyAlignment="1" applyProtection="1">
      <alignment vertical="center" wrapText="1"/>
    </xf>
    <xf numFmtId="1" fontId="10" fillId="19" borderId="4" xfId="4" applyNumberFormat="1" applyFont="1" applyFill="1" applyBorder="1" applyAlignment="1" applyProtection="1">
      <alignment vertical="center"/>
    </xf>
    <xf numFmtId="0" fontId="9" fillId="0" borderId="0" xfId="3" applyFont="1" applyBorder="1" applyAlignment="1" applyProtection="1">
      <alignment vertical="center"/>
    </xf>
    <xf numFmtId="0" fontId="8" fillId="0" borderId="13" xfId="3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center"/>
    </xf>
    <xf numFmtId="0" fontId="8" fillId="0" borderId="15" xfId="3" applyFont="1" applyFill="1" applyBorder="1" applyAlignment="1" applyProtection="1">
      <alignment vertical="center"/>
    </xf>
    <xf numFmtId="179" fontId="8" fillId="19" borderId="5" xfId="4" applyNumberFormat="1" applyFont="1" applyFill="1" applyBorder="1" applyAlignment="1" applyProtection="1">
      <alignment vertical="center"/>
    </xf>
    <xf numFmtId="0" fontId="6" fillId="0" borderId="7" xfId="3" applyFont="1" applyFill="1" applyBorder="1" applyAlignment="1" applyProtection="1">
      <alignment horizontal="left"/>
    </xf>
    <xf numFmtId="0" fontId="8" fillId="0" borderId="16" xfId="3" applyFont="1" applyFill="1" applyBorder="1" applyAlignment="1" applyProtection="1">
      <alignment vertical="center"/>
    </xf>
    <xf numFmtId="0" fontId="8" fillId="0" borderId="8" xfId="3" applyFont="1" applyFill="1" applyBorder="1" applyAlignment="1" applyProtection="1">
      <alignment vertical="center"/>
    </xf>
    <xf numFmtId="0" fontId="8" fillId="0" borderId="9" xfId="3" applyFont="1" applyBorder="1" applyAlignment="1" applyProtection="1">
      <alignment vertical="center"/>
    </xf>
    <xf numFmtId="0" fontId="7" fillId="0" borderId="10" xfId="3" applyFont="1" applyBorder="1" applyAlignment="1" applyProtection="1">
      <alignment vertical="center"/>
    </xf>
    <xf numFmtId="0" fontId="9" fillId="0" borderId="0" xfId="3" applyFont="1" applyBorder="1" applyProtection="1"/>
    <xf numFmtId="0" fontId="18" fillId="0" borderId="2" xfId="3" applyFont="1" applyFill="1" applyBorder="1" applyAlignment="1" applyProtection="1">
      <alignment vertical="center"/>
    </xf>
    <xf numFmtId="0" fontId="8" fillId="0" borderId="0" xfId="3" applyFont="1" applyFill="1" applyBorder="1" applyAlignment="1" applyProtection="1">
      <alignment vertical="center"/>
    </xf>
    <xf numFmtId="0" fontId="11" fillId="0" borderId="0" xfId="3" applyFont="1" applyBorder="1" applyAlignment="1" applyProtection="1">
      <alignment vertical="center"/>
    </xf>
    <xf numFmtId="0" fontId="8" fillId="0" borderId="11" xfId="3" applyFont="1" applyBorder="1" applyAlignment="1" applyProtection="1">
      <alignment vertical="center"/>
    </xf>
    <xf numFmtId="0" fontId="10" fillId="0" borderId="1" xfId="3" applyFont="1" applyBorder="1" applyAlignment="1" applyProtection="1">
      <alignment horizontal="right" vertical="center"/>
    </xf>
    <xf numFmtId="0" fontId="7" fillId="0" borderId="12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 wrapText="1"/>
    </xf>
    <xf numFmtId="0" fontId="8" fillId="0" borderId="0" xfId="3" applyFont="1" applyBorder="1" applyAlignment="1" applyProtection="1">
      <alignment vertical="center" wrapText="1"/>
    </xf>
    <xf numFmtId="0" fontId="5" fillId="0" borderId="0" xfId="3" applyFont="1" applyProtection="1"/>
    <xf numFmtId="0" fontId="5" fillId="0" borderId="0" xfId="3" applyFont="1" applyBorder="1" applyAlignment="1" applyProtection="1">
      <alignment vertical="center"/>
    </xf>
    <xf numFmtId="0" fontId="8" fillId="0" borderId="36" xfId="3" applyFont="1" applyBorder="1" applyAlignment="1" applyProtection="1">
      <alignment vertical="center"/>
    </xf>
    <xf numFmtId="0" fontId="10" fillId="0" borderId="36" xfId="3" applyFont="1" applyBorder="1" applyAlignment="1" applyProtection="1">
      <alignment horizontal="right" vertical="center"/>
    </xf>
    <xf numFmtId="0" fontId="7" fillId="0" borderId="36" xfId="3" applyFont="1" applyBorder="1" applyAlignment="1" applyProtection="1">
      <alignment vertical="center"/>
    </xf>
    <xf numFmtId="0" fontId="5" fillId="0" borderId="36" xfId="3" applyFont="1" applyBorder="1" applyAlignment="1" applyProtection="1">
      <alignment vertical="center"/>
    </xf>
    <xf numFmtId="0" fontId="8" fillId="0" borderId="37" xfId="3" applyFont="1" applyBorder="1" applyAlignment="1" applyProtection="1">
      <alignment vertical="center"/>
    </xf>
    <xf numFmtId="0" fontId="10" fillId="0" borderId="37" xfId="3" applyFont="1" applyBorder="1" applyAlignment="1" applyProtection="1">
      <alignment horizontal="right" vertical="center"/>
    </xf>
    <xf numFmtId="0" fontId="7" fillId="0" borderId="37" xfId="3" applyFont="1" applyBorder="1" applyAlignment="1" applyProtection="1">
      <alignment vertical="center"/>
    </xf>
    <xf numFmtId="0" fontId="5" fillId="0" borderId="37" xfId="3" applyFont="1" applyBorder="1" applyAlignment="1" applyProtection="1">
      <alignment vertical="center"/>
    </xf>
    <xf numFmtId="0" fontId="12" fillId="0" borderId="0" xfId="3" applyFont="1" applyBorder="1" applyAlignment="1" applyProtection="1">
      <alignment vertical="center"/>
    </xf>
    <xf numFmtId="0" fontId="13" fillId="0" borderId="0" xfId="3" applyFont="1" applyFill="1" applyBorder="1" applyAlignment="1" applyProtection="1">
      <alignment vertical="center"/>
    </xf>
    <xf numFmtId="0" fontId="14" fillId="0" borderId="0" xfId="3" applyFont="1" applyBorder="1" applyAlignment="1" applyProtection="1">
      <alignment vertical="center"/>
    </xf>
    <xf numFmtId="0" fontId="9" fillId="0" borderId="0" xfId="3" applyFont="1" applyAlignment="1" applyProtection="1">
      <alignment vertical="center"/>
    </xf>
    <xf numFmtId="0" fontId="10" fillId="0" borderId="0" xfId="3" applyFont="1" applyBorder="1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5" fillId="20" borderId="17" xfId="0" applyFont="1" applyFill="1" applyBorder="1" applyAlignment="1">
      <alignment vertical="center"/>
    </xf>
    <xf numFmtId="0" fontId="5" fillId="21" borderId="20" xfId="0" applyFont="1" applyFill="1" applyBorder="1" applyAlignment="1">
      <alignment vertical="center"/>
    </xf>
    <xf numFmtId="0" fontId="5" fillId="22" borderId="20" xfId="0" applyFont="1" applyFill="1" applyBorder="1" applyAlignment="1">
      <alignment vertical="center"/>
    </xf>
    <xf numFmtId="0" fontId="22" fillId="23" borderId="20" xfId="0" applyFont="1" applyFill="1" applyBorder="1" applyAlignment="1">
      <alignment vertical="center"/>
    </xf>
    <xf numFmtId="0" fontId="45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5" fillId="0" borderId="38" xfId="0" applyFont="1" applyBorder="1" applyAlignment="1">
      <alignment vertical="center"/>
    </xf>
    <xf numFmtId="0" fontId="5" fillId="0" borderId="38" xfId="0" applyFont="1" applyBorder="1"/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1" xfId="0" applyFont="1" applyBorder="1" applyAlignment="1">
      <alignment vertical="center" wrapText="1"/>
    </xf>
    <xf numFmtId="0" fontId="5" fillId="0" borderId="39" xfId="0" applyFont="1" applyBorder="1" applyAlignment="1">
      <alignment vertical="center"/>
    </xf>
    <xf numFmtId="0" fontId="5" fillId="0" borderId="39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0" fillId="0" borderId="38" xfId="0" applyBorder="1"/>
    <xf numFmtId="0" fontId="6" fillId="19" borderId="35" xfId="0" applyFont="1" applyFill="1" applyBorder="1" applyAlignment="1">
      <alignment horizontal="center" vertical="center" wrapText="1"/>
    </xf>
    <xf numFmtId="0" fontId="31" fillId="19" borderId="35" xfId="0" applyFont="1" applyFill="1" applyBorder="1" applyAlignment="1">
      <alignment vertical="center" wrapText="1"/>
    </xf>
    <xf numFmtId="0" fontId="5" fillId="19" borderId="35" xfId="0" applyFont="1" applyFill="1" applyBorder="1" applyAlignment="1">
      <alignment vertical="center" wrapText="1"/>
    </xf>
    <xf numFmtId="0" fontId="5" fillId="19" borderId="35" xfId="0" applyFont="1" applyFill="1" applyBorder="1" applyAlignment="1">
      <alignment horizontal="center" vertical="center" wrapText="1"/>
    </xf>
    <xf numFmtId="0" fontId="5" fillId="19" borderId="35" xfId="0" applyFont="1" applyFill="1" applyBorder="1" applyAlignment="1">
      <alignment horizontal="right" vertical="center" wrapText="1"/>
    </xf>
    <xf numFmtId="0" fontId="31" fillId="0" borderId="35" xfId="0" applyFont="1" applyFill="1" applyBorder="1" applyAlignment="1">
      <alignment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/>
    </xf>
    <xf numFmtId="0" fontId="39" fillId="0" borderId="42" xfId="0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vertical="center" wrapText="1"/>
    </xf>
    <xf numFmtId="0" fontId="27" fillId="0" borderId="42" xfId="0" applyFont="1" applyFill="1" applyBorder="1" applyAlignment="1">
      <alignment vertical="center" wrapText="1"/>
    </xf>
    <xf numFmtId="0" fontId="33" fillId="0" borderId="42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right" vertical="center" wrapText="1"/>
    </xf>
    <xf numFmtId="0" fontId="34" fillId="0" borderId="42" xfId="0" applyFont="1" applyFill="1" applyBorder="1" applyAlignment="1">
      <alignment vertical="center" wrapText="1"/>
    </xf>
    <xf numFmtId="0" fontId="24" fillId="0" borderId="42" xfId="0" applyFont="1" applyFill="1" applyBorder="1" applyAlignment="1">
      <alignment vertical="center" wrapText="1"/>
    </xf>
    <xf numFmtId="0" fontId="35" fillId="0" borderId="4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24" borderId="35" xfId="0" applyFont="1" applyFill="1" applyBorder="1" applyAlignment="1">
      <alignment vertical="center"/>
    </xf>
    <xf numFmtId="0" fontId="5" fillId="12" borderId="35" xfId="0" applyFont="1" applyFill="1" applyBorder="1" applyAlignment="1">
      <alignment vertical="center"/>
    </xf>
    <xf numFmtId="0" fontId="5" fillId="25" borderId="35" xfId="0" applyFont="1" applyFill="1" applyBorder="1" applyAlignment="1">
      <alignment vertical="center"/>
    </xf>
    <xf numFmtId="0" fontId="5" fillId="25" borderId="35" xfId="0" applyFont="1" applyFill="1" applyBorder="1" applyAlignment="1">
      <alignment horizontal="right" vertical="center"/>
    </xf>
    <xf numFmtId="0" fontId="5" fillId="26" borderId="0" xfId="0" applyFont="1" applyFill="1" applyAlignment="1">
      <alignment vertical="center"/>
    </xf>
    <xf numFmtId="0" fontId="20" fillId="26" borderId="0" xfId="0" applyFont="1" applyFill="1" applyBorder="1" applyAlignment="1">
      <alignment vertical="center"/>
    </xf>
    <xf numFmtId="0" fontId="5" fillId="26" borderId="0" xfId="0" applyFont="1" applyFill="1" applyBorder="1" applyAlignment="1">
      <alignment vertical="center"/>
    </xf>
    <xf numFmtId="0" fontId="36" fillId="26" borderId="0" xfId="0" applyFont="1" applyFill="1" applyAlignment="1">
      <alignment vertical="center"/>
    </xf>
    <xf numFmtId="0" fontId="47" fillId="26" borderId="0" xfId="0" applyFont="1" applyFill="1" applyBorder="1" applyAlignment="1">
      <alignment vertical="center"/>
    </xf>
    <xf numFmtId="0" fontId="19" fillId="26" borderId="0" xfId="0" applyFont="1" applyFill="1" applyAlignment="1">
      <alignment vertical="center"/>
    </xf>
    <xf numFmtId="0" fontId="19" fillId="26" borderId="0" xfId="0" applyFont="1" applyFill="1" applyBorder="1" applyAlignment="1">
      <alignment vertical="center"/>
    </xf>
    <xf numFmtId="0" fontId="19" fillId="26" borderId="0" xfId="0" applyFont="1" applyFill="1" applyAlignment="1">
      <alignment vertical="center" wrapText="1"/>
    </xf>
    <xf numFmtId="0" fontId="5" fillId="26" borderId="0" xfId="0" applyFont="1" applyFill="1"/>
    <xf numFmtId="0" fontId="46" fillId="26" borderId="0" xfId="0" applyFont="1" applyFill="1" applyAlignment="1">
      <alignment vertical="center"/>
    </xf>
    <xf numFmtId="0" fontId="6" fillId="26" borderId="0" xfId="0" applyFont="1" applyFill="1"/>
    <xf numFmtId="0" fontId="20" fillId="26" borderId="0" xfId="0" applyFont="1" applyFill="1"/>
    <xf numFmtId="0" fontId="5" fillId="17" borderId="0" xfId="0" applyFont="1" applyFill="1"/>
    <xf numFmtId="0" fontId="37" fillId="17" borderId="0" xfId="0" applyFont="1" applyFill="1" applyAlignment="1">
      <alignment vertical="center"/>
    </xf>
    <xf numFmtId="0" fontId="5" fillId="17" borderId="0" xfId="0" applyFont="1" applyFill="1" applyAlignment="1">
      <alignment vertical="center"/>
    </xf>
    <xf numFmtId="0" fontId="20" fillId="17" borderId="0" xfId="0" applyFont="1" applyFill="1"/>
    <xf numFmtId="2" fontId="5" fillId="26" borderId="0" xfId="0" applyNumberFormat="1" applyFont="1" applyFill="1" applyAlignment="1">
      <alignment vertical="center"/>
    </xf>
    <xf numFmtId="0" fontId="19" fillId="26" borderId="0" xfId="0" applyFont="1" applyFill="1" applyAlignment="1">
      <alignment horizontal="left" vertical="center"/>
    </xf>
    <xf numFmtId="185" fontId="26" fillId="26" borderId="0" xfId="0" applyNumberFormat="1" applyFont="1" applyFill="1" applyAlignment="1">
      <alignment horizontal="left" vertical="center"/>
    </xf>
    <xf numFmtId="0" fontId="24" fillId="26" borderId="0" xfId="0" applyFont="1" applyFill="1" applyAlignment="1">
      <alignment vertical="center"/>
    </xf>
    <xf numFmtId="0" fontId="38" fillId="26" borderId="0" xfId="0" applyFont="1" applyFill="1" applyAlignment="1">
      <alignment horizontal="right"/>
    </xf>
    <xf numFmtId="0" fontId="18" fillId="26" borderId="0" xfId="0" applyFont="1" applyFill="1" applyBorder="1" applyAlignment="1">
      <alignment vertical="center"/>
    </xf>
    <xf numFmtId="0" fontId="18" fillId="26" borderId="0" xfId="0" applyFont="1" applyFill="1" applyAlignment="1">
      <alignment vertical="center"/>
    </xf>
    <xf numFmtId="0" fontId="25" fillId="26" borderId="0" xfId="0" applyFont="1" applyFill="1" applyAlignment="1">
      <alignment horizontal="right"/>
    </xf>
    <xf numFmtId="0" fontId="5" fillId="27" borderId="35" xfId="0" applyFont="1" applyFill="1" applyBorder="1" applyAlignment="1">
      <alignment horizontal="right" vertical="center"/>
    </xf>
    <xf numFmtId="0" fontId="22" fillId="27" borderId="35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74" fontId="50" fillId="12" borderId="10" xfId="0" applyNumberFormat="1" applyFont="1" applyFill="1" applyBorder="1" applyAlignment="1">
      <alignment horizontal="center" vertical="center"/>
    </xf>
    <xf numFmtId="0" fontId="50" fillId="12" borderId="9" xfId="0" applyFont="1" applyFill="1" applyBorder="1" applyAlignment="1">
      <alignment horizontal="center" vertical="center"/>
    </xf>
    <xf numFmtId="9" fontId="5" fillId="14" borderId="1" xfId="0" applyNumberFormat="1" applyFont="1" applyFill="1" applyBorder="1" applyAlignment="1">
      <alignment horizontal="center" vertical="center"/>
    </xf>
    <xf numFmtId="0" fontId="49" fillId="12" borderId="9" xfId="0" applyFont="1" applyFill="1" applyBorder="1"/>
    <xf numFmtId="165" fontId="50" fillId="12" borderId="0" xfId="0" applyNumberFormat="1" applyFont="1" applyFill="1" applyBorder="1" applyAlignment="1">
      <alignment horizontal="center" vertical="center"/>
    </xf>
    <xf numFmtId="0" fontId="5" fillId="0" borderId="42" xfId="0" applyFont="1" applyBorder="1" applyAlignment="1">
      <alignment vertical="center" wrapText="1"/>
    </xf>
    <xf numFmtId="0" fontId="51" fillId="27" borderId="35" xfId="0" applyFont="1" applyFill="1" applyBorder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51" fillId="0" borderId="0" xfId="0" applyFont="1" applyFill="1" applyAlignment="1">
      <alignment horizontal="center" vertical="center"/>
    </xf>
    <xf numFmtId="0" fontId="6" fillId="26" borderId="0" xfId="0" applyFont="1" applyFill="1"/>
    <xf numFmtId="0" fontId="5" fillId="0" borderId="0" xfId="3" applyFont="1" applyFill="1" applyBorder="1" applyAlignment="1" applyProtection="1">
      <alignment vertical="top" wrapText="1"/>
    </xf>
    <xf numFmtId="0" fontId="5" fillId="0" borderId="10" xfId="3" applyFont="1" applyFill="1" applyBorder="1" applyAlignment="1" applyProtection="1">
      <alignment vertical="top" wrapText="1"/>
    </xf>
    <xf numFmtId="0" fontId="8" fillId="0" borderId="10" xfId="3" applyFont="1" applyBorder="1" applyAlignment="1" applyProtection="1">
      <alignment vertical="top" wrapText="1"/>
    </xf>
    <xf numFmtId="0" fontId="52" fillId="0" borderId="0" xfId="3" applyFont="1" applyBorder="1" applyAlignment="1" applyProtection="1">
      <alignment vertical="center"/>
    </xf>
    <xf numFmtId="0" fontId="2" fillId="12" borderId="10" xfId="0" applyFont="1" applyFill="1" applyBorder="1" applyAlignment="1">
      <alignment horizontal="center" vertical="center"/>
    </xf>
    <xf numFmtId="0" fontId="8" fillId="0" borderId="0" xfId="3" applyFont="1" applyBorder="1" applyAlignment="1" applyProtection="1">
      <alignment vertical="top" wrapText="1"/>
    </xf>
    <xf numFmtId="0" fontId="42" fillId="0" borderId="16" xfId="3" applyFont="1" applyFill="1" applyBorder="1" applyAlignment="1" applyProtection="1">
      <alignment vertical="center"/>
    </xf>
    <xf numFmtId="0" fontId="42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left" vertical="top" wrapText="1"/>
    </xf>
    <xf numFmtId="0" fontId="44" fillId="18" borderId="4" xfId="3" applyFont="1" applyFill="1" applyBorder="1" applyAlignment="1" applyProtection="1">
      <alignment horizontal="left" vertical="center" wrapText="1"/>
      <protection locked="0"/>
    </xf>
    <xf numFmtId="0" fontId="6" fillId="26" borderId="0" xfId="0" applyFont="1" applyFill="1"/>
    <xf numFmtId="0" fontId="19" fillId="26" borderId="0" xfId="0" applyFont="1" applyFill="1" applyAlignment="1">
      <alignment vertical="center" wrapText="1"/>
    </xf>
    <xf numFmtId="0" fontId="19" fillId="26" borderId="0" xfId="0" applyFont="1" applyFill="1" applyAlignment="1">
      <alignment vertical="top" wrapText="1"/>
    </xf>
    <xf numFmtId="0" fontId="2" fillId="28" borderId="9" xfId="0" applyFont="1" applyFill="1" applyBorder="1" applyAlignment="1">
      <alignment horizontal="center" vertical="center"/>
    </xf>
    <xf numFmtId="0" fontId="2" fillId="28" borderId="10" xfId="0" applyFont="1" applyFill="1" applyBorder="1" applyAlignment="1">
      <alignment horizontal="center" vertical="center"/>
    </xf>
    <xf numFmtId="0" fontId="48" fillId="0" borderId="0" xfId="0" applyFont="1" applyAlignment="1">
      <alignment horizontal="left"/>
    </xf>
  </cellXfs>
  <cellStyles count="6">
    <cellStyle name="Euro" xfId="1" xr:uid="{00000000-0005-0000-0000-000000000000}"/>
    <cellStyle name="Prozent" xfId="2" builtinId="5"/>
    <cellStyle name="Standard" xfId="0" builtinId="0"/>
    <cellStyle name="パーセント 2" xfId="5" xr:uid="{00000000-0005-0000-0000-000003000000}"/>
    <cellStyle name="桁区切り [0.00] 2" xfId="4" xr:uid="{00000000-0005-0000-0000-000004000000}"/>
    <cellStyle name="標準 2" xfId="3" xr:uid="{00000000-0005-0000-0000-000005000000}"/>
  </cellStyles>
  <dxfs count="0"/>
  <tableStyles count="0" defaultTableStyle="TableStyleMedium2" defaultPivotStyle="PivotStyleLight16"/>
  <colors>
    <mruColors>
      <color rgb="FFC5D9F1"/>
      <color rgb="FFC00000"/>
      <color rgb="FFBFBFBF"/>
      <color rgb="FF00B050"/>
      <color rgb="FF963634"/>
      <color rgb="FFDA9694"/>
      <color rgb="FF538DD5"/>
      <color rgb="FF366092"/>
      <color rgb="FFFFFF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monthly!$A$24</c:f>
              <c:strCache>
                <c:ptCount val="1"/>
                <c:pt idx="0">
                  <c:v>Current flow</c:v>
                </c:pt>
              </c:strCache>
            </c:strRef>
          </c:tx>
          <c:spPr>
            <a:solidFill>
              <a:schemeClr val="accent1"/>
            </a:solidFill>
          </c:spPr>
          <c:dPt>
            <c:idx val="0"/>
            <c:bubble3D val="0"/>
            <c:spPr>
              <a:solidFill>
                <a:schemeClr val="accent1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440-664E-BE69-A46173B70801}"/>
              </c:ext>
            </c:extLst>
          </c:dPt>
          <c:val>
            <c:numRef>
              <c:f>monthly!$B$24</c:f>
              <c:numCache>
                <c:formatCode>0" hours"</c:formatCode>
                <c:ptCount val="1"/>
                <c:pt idx="0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40-664E-BE69-A46173B70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18127169587672"/>
          <c:y val="4.0348458180570472E-2"/>
          <c:w val="0.82468422033394961"/>
          <c:h val="0.868378823789011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monthly!$A$9</c:f>
              <c:strCache>
                <c:ptCount val="1"/>
                <c:pt idx="0">
                  <c:v>Poster Design cost</c:v>
                </c:pt>
              </c:strCache>
            </c:strRef>
          </c:tx>
          <c:spPr>
            <a:solidFill>
              <a:srgbClr val="366092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monthly!$B$9:$C$9</c:f>
              <c:numCache>
                <c:formatCode>General</c:formatCode>
                <c:ptCount val="2"/>
                <c:pt idx="0" formatCode="#,##0_);[Red]\(#,##0\)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60-684C-9B9B-001AB9BE2492}"/>
            </c:ext>
          </c:extLst>
        </c:ser>
        <c:ser>
          <c:idx val="1"/>
          <c:order val="1"/>
          <c:tx>
            <c:strRef>
              <c:f>monthly!$A$10</c:f>
              <c:strCache>
                <c:ptCount val="1"/>
                <c:pt idx="0">
                  <c:v>Printing cost</c:v>
                </c:pt>
              </c:strCache>
            </c:strRef>
          </c:tx>
          <c:spPr>
            <a:solidFill>
              <a:srgbClr val="538DD5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monthly!$B$10:$C$10</c:f>
              <c:numCache>
                <c:formatCode>General</c:formatCode>
                <c:ptCount val="2"/>
                <c:pt idx="0" formatCode="#,##0_);[Red]\(#,##0\)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60-684C-9B9B-001AB9BE2492}"/>
            </c:ext>
          </c:extLst>
        </c:ser>
        <c:ser>
          <c:idx val="11"/>
          <c:order val="2"/>
          <c:tx>
            <c:strRef>
              <c:f>monthly!$A$11</c:f>
              <c:strCache>
                <c:ptCount val="1"/>
                <c:pt idx="0">
                  <c:v>Transportation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9525"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monthly!$B$11</c:f>
              <c:numCache>
                <c:formatCode>#,##0_);[Red]\(#,##0\)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60-684C-9B9B-001AB9BE2492}"/>
            </c:ext>
          </c:extLst>
        </c:ser>
        <c:ser>
          <c:idx val="10"/>
          <c:order val="3"/>
          <c:tx>
            <c:strRef>
              <c:f>monthly!$A$12</c:f>
              <c:strCache>
                <c:ptCount val="1"/>
                <c:pt idx="0">
                  <c:v>Lease Expense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9525"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monthly!$B$12:$C$12</c:f>
              <c:numCache>
                <c:formatCode>General</c:formatCode>
                <c:ptCount val="2"/>
                <c:pt idx="0" formatCode="#,##0_);[Red]\(#,##0\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60-684C-9B9B-001AB9BE2492}"/>
            </c:ext>
          </c:extLst>
        </c:ser>
        <c:ser>
          <c:idx val="2"/>
          <c:order val="4"/>
          <c:tx>
            <c:strRef>
              <c:f>monthly!$A$13</c:f>
              <c:strCache>
                <c:ptCount val="1"/>
                <c:pt idx="0">
                  <c:v>Ink</c:v>
                </c:pt>
              </c:strCache>
            </c:strRef>
          </c:tx>
          <c:spPr>
            <a:solidFill>
              <a:srgbClr val="963634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monthly!$B$13:$C$13</c:f>
              <c:numCache>
                <c:formatCode>#,##0_);[Red]\(#,##0\)</c:formatCode>
                <c:ptCount val="2"/>
                <c:pt idx="1">
                  <c:v>280.93464490325374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60-684C-9B9B-001AB9BE2492}"/>
            </c:ext>
          </c:extLst>
        </c:ser>
        <c:ser>
          <c:idx val="3"/>
          <c:order val="5"/>
          <c:tx>
            <c:strRef>
              <c:f>monthly!$A$14</c:f>
              <c:strCache>
                <c:ptCount val="1"/>
                <c:pt idx="0">
                  <c:v>Printhead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monthly!$B$14:$C$14</c:f>
              <c:numCache>
                <c:formatCode>#,##0_);[Red]\(#,##0\)</c:formatCode>
                <c:ptCount val="2"/>
                <c:pt idx="1">
                  <c:v>11.385246135552915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60-684C-9B9B-001AB9BE2492}"/>
            </c:ext>
          </c:extLst>
        </c:ser>
        <c:ser>
          <c:idx val="4"/>
          <c:order val="6"/>
          <c:tx>
            <c:strRef>
              <c:f>monthly!$A$15</c:f>
              <c:strCache>
                <c:ptCount val="1"/>
                <c:pt idx="0">
                  <c:v>Media</c:v>
                </c:pt>
              </c:strCache>
            </c:strRef>
          </c:tx>
          <c:spPr>
            <a:solidFill>
              <a:srgbClr val="DA9694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monthly!$B$15:$C$15</c:f>
              <c:numCache>
                <c:formatCode>#,##0_);[Red]\(#,##0\)</c:formatCode>
                <c:ptCount val="2"/>
                <c:pt idx="1">
                  <c:v>107.9132822213013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460-684C-9B9B-001AB9BE2492}"/>
            </c:ext>
          </c:extLst>
        </c:ser>
        <c:ser>
          <c:idx val="5"/>
          <c:order val="7"/>
          <c:tx>
            <c:strRef>
              <c:f>monthly!$A$16</c:f>
              <c:strCache>
                <c:ptCount val="1"/>
                <c:pt idx="0">
                  <c:v>MC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monthly!$B$16:$C$16</c:f>
              <c:numCache>
                <c:formatCode>#,##0_);[Red]\(#,##0\)</c:formatCode>
                <c:ptCount val="2"/>
                <c:pt idx="1">
                  <c:v>0.88929845422116538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60-684C-9B9B-001AB9BE2492}"/>
            </c:ext>
          </c:extLst>
        </c:ser>
        <c:ser>
          <c:idx val="6"/>
          <c:order val="8"/>
          <c:tx>
            <c:strRef>
              <c:f>monthly!$A$17</c:f>
              <c:strCache>
                <c:ptCount val="1"/>
                <c:pt idx="0">
                  <c:v>Service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monthly!$B$17:$C$17</c:f>
              <c:numCache>
                <c:formatCode>#,##0_);[Red]\(#,##0\)</c:formatCode>
                <c:ptCount val="2"/>
                <c:pt idx="1">
                  <c:v>12.777777777777779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460-684C-9B9B-001AB9BE2492}"/>
            </c:ext>
          </c:extLst>
        </c:ser>
        <c:ser>
          <c:idx val="7"/>
          <c:order val="9"/>
          <c:tx>
            <c:strRef>
              <c:f>monthly!$A$18</c:f>
              <c:strCache>
                <c:ptCount val="1"/>
                <c:pt idx="0">
                  <c:v>Labour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monthly!$B$18:$C$18</c:f>
              <c:numCache>
                <c:formatCode>#,##0_);[Red]\(#,##0\)</c:formatCode>
                <c:ptCount val="2"/>
                <c:pt idx="1">
                  <c:v>44.114149821640908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60-684C-9B9B-001AB9BE2492}"/>
            </c:ext>
          </c:extLst>
        </c:ser>
        <c:ser>
          <c:idx val="8"/>
          <c:order val="10"/>
          <c:tx>
            <c:strRef>
              <c:f>monthly!$A$19</c:f>
              <c:strCache>
                <c:ptCount val="1"/>
                <c:pt idx="0">
                  <c:v>Electricity charge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monthly!$B$19:$C$19</c:f>
              <c:numCache>
                <c:formatCode>#,##0_);[Red]\(#,##0\)</c:formatCode>
                <c:ptCount val="2"/>
                <c:pt idx="1">
                  <c:v>2.2939357907253276E-2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60-684C-9B9B-001AB9BE2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5324272"/>
        <c:axId val="415319176"/>
      </c:barChart>
      <c:lineChart>
        <c:grouping val="standard"/>
        <c:varyColors val="0"/>
        <c:ser>
          <c:idx val="9"/>
          <c:order val="11"/>
          <c:tx>
            <c:strRef>
              <c:f>monthly!$A$20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monthly!$B$20:$C$20</c:f>
              <c:numCache>
                <c:formatCode>#,##0_);[Red]\(#,##0\)</c:formatCode>
                <c:ptCount val="2"/>
                <c:pt idx="0">
                  <c:v>1750</c:v>
                </c:pt>
                <c:pt idx="1">
                  <c:v>458.03733867165505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460-684C-9B9B-001AB9BE2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324272"/>
        <c:axId val="415319176"/>
      </c:lineChart>
      <c:catAx>
        <c:axId val="415324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>
                <a:solidFill>
                  <a:schemeClr val="tx1"/>
                </a:solidFill>
              </a:defRPr>
            </a:pPr>
            <a:endParaRPr lang="de-DE"/>
          </a:p>
        </c:txPr>
        <c:crossAx val="415319176"/>
        <c:crosses val="autoZero"/>
        <c:auto val="1"/>
        <c:lblAlgn val="ctr"/>
        <c:lblOffset val="100"/>
        <c:noMultiLvlLbl val="0"/>
      </c:catAx>
      <c:valAx>
        <c:axId val="41531917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15324272"/>
        <c:crosses val="autoZero"/>
        <c:crossBetween val="between"/>
      </c:valAx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Century Gothic" panose="020B0502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670292339163122E-2"/>
          <c:y val="1.6808395240040675E-2"/>
          <c:w val="0.93132971034978274"/>
          <c:h val="0.8568724914140321"/>
        </c:manualLayout>
      </c:layout>
      <c:barChart>
        <c:barDir val="col"/>
        <c:grouping val="stacked"/>
        <c:varyColors val="0"/>
        <c:ser>
          <c:idx val="3"/>
          <c:order val="2"/>
          <c:tx>
            <c:strRef>
              <c:f>monthly!$A$6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monthly!$B$2:$M$2</c:f>
              <c:strCache>
                <c:ptCount val="12"/>
                <c:pt idx="0">
                  <c:v>Monat 1
(kauf)</c:v>
                </c:pt>
                <c:pt idx="1">
                  <c:v>Monat 2</c:v>
                </c:pt>
                <c:pt idx="2">
                  <c:v>Monat 3</c:v>
                </c:pt>
                <c:pt idx="3">
                  <c:v>Monat 4</c:v>
                </c:pt>
                <c:pt idx="4">
                  <c:v>Monat 5</c:v>
                </c:pt>
                <c:pt idx="5">
                  <c:v>Monat 6</c:v>
                </c:pt>
                <c:pt idx="6">
                  <c:v>Monat 7</c:v>
                </c:pt>
                <c:pt idx="7">
                  <c:v>Monat 8</c:v>
                </c:pt>
                <c:pt idx="8">
                  <c:v>Monat 9</c:v>
                </c:pt>
                <c:pt idx="9">
                  <c:v>Monat 10</c:v>
                </c:pt>
                <c:pt idx="10">
                  <c:v>Monat 11</c:v>
                </c:pt>
                <c:pt idx="11">
                  <c:v>Monat 12</c:v>
                </c:pt>
              </c:strCache>
            </c:strRef>
          </c:cat>
          <c:val>
            <c:numRef>
              <c:f>monthly!$B$6:$M$6</c:f>
              <c:numCache>
                <c:formatCode>#,##0</c:formatCode>
                <c:ptCount val="12"/>
                <c:pt idx="0">
                  <c:v>1000</c:v>
                </c:pt>
                <c:pt idx="1">
                  <c:v>1458.0373386716551</c:v>
                </c:pt>
                <c:pt idx="2">
                  <c:v>1916.0746773433102</c:v>
                </c:pt>
                <c:pt idx="3">
                  <c:v>2374.1120160149653</c:v>
                </c:pt>
                <c:pt idx="4">
                  <c:v>2832.1493546866204</c:v>
                </c:pt>
                <c:pt idx="5">
                  <c:v>3290.1866933582755</c:v>
                </c:pt>
                <c:pt idx="6">
                  <c:v>3748.2240320299306</c:v>
                </c:pt>
                <c:pt idx="7">
                  <c:v>4206.2613707015853</c:v>
                </c:pt>
                <c:pt idx="8">
                  <c:v>4664.2987093732399</c:v>
                </c:pt>
                <c:pt idx="9">
                  <c:v>5122.3360480448946</c:v>
                </c:pt>
                <c:pt idx="10">
                  <c:v>5580.3733867165492</c:v>
                </c:pt>
                <c:pt idx="11">
                  <c:v>6038.4107253882039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11-2D4D-9C9A-A58D04D90628}"/>
            </c:ext>
          </c:extLst>
        </c:ser>
        <c:ser>
          <c:idx val="2"/>
          <c:order val="3"/>
          <c:tx>
            <c:strRef>
              <c:f>monthly!$A$5</c:f>
              <c:strCache>
                <c:ptCount val="1"/>
                <c:pt idx="0">
                  <c:v>Diff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BF11-2D4D-9C9A-A58D04D90628}"/>
              </c:ext>
            </c:extLst>
          </c:dPt>
          <c:dPt>
            <c:idx val="1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BF11-2D4D-9C9A-A58D04D90628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BF11-2D4D-9C9A-A58D04D90628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BF11-2D4D-9C9A-A58D04D90628}"/>
              </c:ext>
            </c:extLst>
          </c:dPt>
          <c:dPt>
            <c:idx val="4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BF11-2D4D-9C9A-A58D04D90628}"/>
              </c:ext>
            </c:extLst>
          </c:dPt>
          <c:dPt>
            <c:idx val="5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BF11-2D4D-9C9A-A58D04D90628}"/>
              </c:ext>
            </c:extLst>
          </c:dPt>
          <c:dPt>
            <c:idx val="6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E-BF11-2D4D-9C9A-A58D04D90628}"/>
              </c:ext>
            </c:extLst>
          </c:dPt>
          <c:dPt>
            <c:idx val="7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0-BF11-2D4D-9C9A-A58D04D90628}"/>
              </c:ext>
            </c:extLst>
          </c:dPt>
          <c:dPt>
            <c:idx val="8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2-BF11-2D4D-9C9A-A58D04D90628}"/>
              </c:ext>
            </c:extLst>
          </c:dPt>
          <c:dPt>
            <c:idx val="9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4-BF11-2D4D-9C9A-A58D04D90628}"/>
              </c:ext>
            </c:extLst>
          </c:dPt>
          <c:dPt>
            <c:idx val="10"/>
            <c:invertIfNegative val="0"/>
            <c:bubble3D val="0"/>
            <c:spPr>
              <a:noFill/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6-BF11-2D4D-9C9A-A58D04D90628}"/>
              </c:ext>
            </c:extLst>
          </c:dPt>
          <c:dPt>
            <c:idx val="11"/>
            <c:invertIfNegative val="0"/>
            <c:bubble3D val="0"/>
            <c:spPr>
              <a:blipFill dpi="0" rotWithShape="1">
                <a:blip xmlns:r="http://schemas.openxmlformats.org/officeDocument/2006/relationships" r:embed="rId1"/>
                <a:srcRect/>
                <a:stretch>
                  <a:fillRect/>
                </a:stretch>
              </a:blip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8-BF11-2D4D-9C9A-A58D04D90628}"/>
              </c:ext>
            </c:extLst>
          </c:dPt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F11-2D4D-9C9A-A58D04D90628}"/>
                </c:ext>
              </c:extLst>
            </c:dLbl>
            <c:numFmt formatCode="\-#,##0;[Red]\-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solidFill>
                      <a:schemeClr val="tx2"/>
                    </a:solidFill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monthly!$B$2:$M$2</c:f>
              <c:strCache>
                <c:ptCount val="12"/>
                <c:pt idx="0">
                  <c:v>Monat 1
(kauf)</c:v>
                </c:pt>
                <c:pt idx="1">
                  <c:v>Monat 2</c:v>
                </c:pt>
                <c:pt idx="2">
                  <c:v>Monat 3</c:v>
                </c:pt>
                <c:pt idx="3">
                  <c:v>Monat 4</c:v>
                </c:pt>
                <c:pt idx="4">
                  <c:v>Monat 5</c:v>
                </c:pt>
                <c:pt idx="5">
                  <c:v>Monat 6</c:v>
                </c:pt>
                <c:pt idx="6">
                  <c:v>Monat 7</c:v>
                </c:pt>
                <c:pt idx="7">
                  <c:v>Monat 8</c:v>
                </c:pt>
                <c:pt idx="8">
                  <c:v>Monat 9</c:v>
                </c:pt>
                <c:pt idx="9">
                  <c:v>Monat 10</c:v>
                </c:pt>
                <c:pt idx="10">
                  <c:v>Monat 11</c:v>
                </c:pt>
                <c:pt idx="11">
                  <c:v>Monat 12</c:v>
                </c:pt>
              </c:strCache>
            </c:strRef>
          </c:cat>
          <c:val>
            <c:numRef>
              <c:f>monthly!$B$5:$M$5</c:f>
              <c:numCache>
                <c:formatCode>#,##0</c:formatCode>
                <c:ptCount val="12"/>
                <c:pt idx="0">
                  <c:v>-1000</c:v>
                </c:pt>
                <c:pt idx="1">
                  <c:v>291.96266132834489</c:v>
                </c:pt>
                <c:pt idx="2">
                  <c:v>1583.9253226566898</c:v>
                </c:pt>
                <c:pt idx="3">
                  <c:v>2875.8879839850347</c:v>
                </c:pt>
                <c:pt idx="4">
                  <c:v>4167.8506453133796</c:v>
                </c:pt>
                <c:pt idx="5">
                  <c:v>5459.8133066417249</c:v>
                </c:pt>
                <c:pt idx="6">
                  <c:v>6751.7759679700694</c:v>
                </c:pt>
                <c:pt idx="7">
                  <c:v>8043.7386292984147</c:v>
                </c:pt>
                <c:pt idx="8">
                  <c:v>9335.7012906267591</c:v>
                </c:pt>
                <c:pt idx="9">
                  <c:v>10627.663951955106</c:v>
                </c:pt>
                <c:pt idx="10">
                  <c:v>11919.62661328345</c:v>
                </c:pt>
                <c:pt idx="11">
                  <c:v>13212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F11-2D4D-9C9A-A58D04D90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5323880"/>
        <c:axId val="415324664"/>
      </c:barChart>
      <c:lineChart>
        <c:grouping val="standard"/>
        <c:varyColors val="0"/>
        <c:ser>
          <c:idx val="0"/>
          <c:order val="0"/>
          <c:tx>
            <c:strRef>
              <c:f>monthly!$A$3</c:f>
              <c:strCache>
                <c:ptCount val="1"/>
                <c:pt idx="0">
                  <c:v>Aktueller Workflow mit Outsourcing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circle"/>
            <c:size val="8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monthly!$B$2:$M$2</c:f>
              <c:strCache>
                <c:ptCount val="12"/>
                <c:pt idx="0">
                  <c:v>Monat 1
(kauf)</c:v>
                </c:pt>
                <c:pt idx="1">
                  <c:v>Monat 2</c:v>
                </c:pt>
                <c:pt idx="2">
                  <c:v>Monat 3</c:v>
                </c:pt>
                <c:pt idx="3">
                  <c:v>Monat 4</c:v>
                </c:pt>
                <c:pt idx="4">
                  <c:v>Monat 5</c:v>
                </c:pt>
                <c:pt idx="5">
                  <c:v>Monat 6</c:v>
                </c:pt>
                <c:pt idx="6">
                  <c:v>Monat 7</c:v>
                </c:pt>
                <c:pt idx="7">
                  <c:v>Monat 8</c:v>
                </c:pt>
                <c:pt idx="8">
                  <c:v>Monat 9</c:v>
                </c:pt>
                <c:pt idx="9">
                  <c:v>Monat 10</c:v>
                </c:pt>
                <c:pt idx="10">
                  <c:v>Monat 11</c:v>
                </c:pt>
                <c:pt idx="11">
                  <c:v>Monat 12</c:v>
                </c:pt>
              </c:strCache>
            </c:strRef>
          </c:cat>
          <c:val>
            <c:numRef>
              <c:f>monthly!$B$3:$M$3</c:f>
              <c:numCache>
                <c:formatCode>#,##0_);[Red]\(#,##0\)</c:formatCode>
                <c:ptCount val="12"/>
                <c:pt idx="0" formatCode="#,##0">
                  <c:v>0</c:v>
                </c:pt>
                <c:pt idx="1">
                  <c:v>1750</c:v>
                </c:pt>
                <c:pt idx="2">
                  <c:v>3500</c:v>
                </c:pt>
                <c:pt idx="3">
                  <c:v>5250</c:v>
                </c:pt>
                <c:pt idx="4">
                  <c:v>7000</c:v>
                </c:pt>
                <c:pt idx="5">
                  <c:v>8750</c:v>
                </c:pt>
                <c:pt idx="6">
                  <c:v>10500</c:v>
                </c:pt>
                <c:pt idx="7">
                  <c:v>12250</c:v>
                </c:pt>
                <c:pt idx="8">
                  <c:v>14000</c:v>
                </c:pt>
                <c:pt idx="9">
                  <c:v>15750</c:v>
                </c:pt>
                <c:pt idx="10">
                  <c:v>17500</c:v>
                </c:pt>
                <c:pt idx="11">
                  <c:v>19250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BF11-2D4D-9C9A-A58D04D90628}"/>
            </c:ext>
          </c:extLst>
        </c:ser>
        <c:ser>
          <c:idx val="1"/>
          <c:order val="1"/>
          <c:tx>
            <c:strRef>
              <c:f>monthly!$A$4</c:f>
              <c:strCache>
                <c:ptCount val="1"/>
                <c:pt idx="0">
                  <c:v>Neuer Workflow mit Canon iPF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8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monthly!$B$2:$M$2</c:f>
              <c:strCache>
                <c:ptCount val="12"/>
                <c:pt idx="0">
                  <c:v>Monat 1
(kauf)</c:v>
                </c:pt>
                <c:pt idx="1">
                  <c:v>Monat 2</c:v>
                </c:pt>
                <c:pt idx="2">
                  <c:v>Monat 3</c:v>
                </c:pt>
                <c:pt idx="3">
                  <c:v>Monat 4</c:v>
                </c:pt>
                <c:pt idx="4">
                  <c:v>Monat 5</c:v>
                </c:pt>
                <c:pt idx="5">
                  <c:v>Monat 6</c:v>
                </c:pt>
                <c:pt idx="6">
                  <c:v>Monat 7</c:v>
                </c:pt>
                <c:pt idx="7">
                  <c:v>Monat 8</c:v>
                </c:pt>
                <c:pt idx="8">
                  <c:v>Monat 9</c:v>
                </c:pt>
                <c:pt idx="9">
                  <c:v>Monat 10</c:v>
                </c:pt>
                <c:pt idx="10">
                  <c:v>Monat 11</c:v>
                </c:pt>
                <c:pt idx="11">
                  <c:v>Monat 12</c:v>
                </c:pt>
              </c:strCache>
            </c:strRef>
          </c:cat>
          <c:val>
            <c:numRef>
              <c:f>monthly!$B$4:$M$4</c:f>
              <c:numCache>
                <c:formatCode>#,##0</c:formatCode>
                <c:ptCount val="12"/>
                <c:pt idx="0">
                  <c:v>1000</c:v>
                </c:pt>
                <c:pt idx="1">
                  <c:v>1458.0373386716551</c:v>
                </c:pt>
                <c:pt idx="2">
                  <c:v>1916.0746773433102</c:v>
                </c:pt>
                <c:pt idx="3">
                  <c:v>2374.1120160149653</c:v>
                </c:pt>
                <c:pt idx="4">
                  <c:v>2832.1493546866204</c:v>
                </c:pt>
                <c:pt idx="5">
                  <c:v>3290.1866933582755</c:v>
                </c:pt>
                <c:pt idx="6">
                  <c:v>3748.2240320299306</c:v>
                </c:pt>
                <c:pt idx="7">
                  <c:v>4206.2613707015853</c:v>
                </c:pt>
                <c:pt idx="8">
                  <c:v>4664.2987093732399</c:v>
                </c:pt>
                <c:pt idx="9">
                  <c:v>5122.3360480448946</c:v>
                </c:pt>
                <c:pt idx="10">
                  <c:v>5580.3733867165492</c:v>
                </c:pt>
                <c:pt idx="11">
                  <c:v>6038.4107253882039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BF11-2D4D-9C9A-A58D04D90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323880"/>
        <c:axId val="415324664"/>
      </c:lineChart>
      <c:catAx>
        <c:axId val="415323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15324664"/>
        <c:crosses val="autoZero"/>
        <c:auto val="1"/>
        <c:lblAlgn val="ctr"/>
        <c:lblOffset val="100"/>
        <c:noMultiLvlLbl val="0"/>
      </c:catAx>
      <c:valAx>
        <c:axId val="415324664"/>
        <c:scaling>
          <c:orientation val="minMax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15323880"/>
        <c:crosses val="autoZero"/>
        <c:crossBetween val="between"/>
      </c:valAx>
      <c:spPr>
        <a:noFill/>
        <a:ln w="25400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6.8045390279678528E-2"/>
          <c:y val="3.5995183667517083E-2"/>
          <c:w val="0.36814923681303963"/>
          <c:h val="9.3656439838645245E-2"/>
        </c:manualLayout>
      </c:layout>
      <c:overlay val="0"/>
      <c:txPr>
        <a:bodyPr/>
        <a:lstStyle/>
        <a:p>
          <a:pPr>
            <a:defRPr sz="1100"/>
          </a:pPr>
          <a:endParaRPr lang="de-DE"/>
        </a:p>
      </c:txPr>
    </c:legend>
    <c:plotVisOnly val="1"/>
    <c:dispBlanksAs val="gap"/>
    <c:showDLblsOverMax val="0"/>
  </c:chart>
  <c:spPr>
    <a:noFill/>
    <a:ln>
      <a:noFill/>
    </a:ln>
    <a:scene3d>
      <a:camera prst="orthographicFront"/>
      <a:lightRig rig="threePt" dir="t"/>
    </a:scene3d>
    <a:sp3d prstMaterial="matte"/>
  </c:spPr>
  <c:txPr>
    <a:bodyPr/>
    <a:lstStyle/>
    <a:p>
      <a:pPr>
        <a:defRPr>
          <a:latin typeface="Century Gothic" panose="020B0502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263-7F41-BF1E-44D967E2771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E263-7F41-BF1E-44D967E2771E}"/>
              </c:ext>
            </c:extLst>
          </c:dPt>
          <c:dLbls>
            <c:dLbl>
              <c:idx val="0"/>
              <c:layout>
                <c:manualLayout>
                  <c:x val="0.12748709228247879"/>
                  <c:y val="2.8477309901479706E-2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852895148669798"/>
                      <c:h val="0.240450885668276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263-7F41-BF1E-44D967E2771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63-7F41-BF1E-44D967E2771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monthly!$A$25:$A$26</c:f>
              <c:strCache>
                <c:ptCount val="2"/>
                <c:pt idx="0">
                  <c:v>New flow(iPF)</c:v>
                </c:pt>
                <c:pt idx="1">
                  <c:v>diff</c:v>
                </c:pt>
              </c:strCache>
            </c:strRef>
          </c:cat>
          <c:val>
            <c:numRef>
              <c:f>monthly!$B$25:$B$26</c:f>
              <c:numCache>
                <c:formatCode>0" hours"</c:formatCode>
                <c:ptCount val="2"/>
                <c:pt idx="0">
                  <c:v>2.2057074910820456</c:v>
                </c:pt>
                <c:pt idx="1">
                  <c:v>69.794292508917948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63-7F41-BF1E-44D967E27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Century Gothic" panose="020B0502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7.emf"/><Relationship Id="rId5" Type="http://schemas.openxmlformats.org/officeDocument/2006/relationships/chart" Target="../charts/chart4.xml"/><Relationship Id="rId4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1343025</xdr:colOff>
          <xdr:row>9</xdr:row>
          <xdr:rowOff>180976</xdr:rowOff>
        </xdr:from>
        <xdr:to>
          <xdr:col>5</xdr:col>
          <xdr:colOff>2038350</xdr:colOff>
          <xdr:row>14</xdr:row>
          <xdr:rowOff>85726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Picture1" spid="_x0000_s44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496050" y="2324101"/>
              <a:ext cx="695325" cy="952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590550</xdr:colOff>
      <xdr:row>0</xdr:row>
      <xdr:rowOff>85725</xdr:rowOff>
    </xdr:from>
    <xdr:to>
      <xdr:col>13</xdr:col>
      <xdr:colOff>41275</xdr:colOff>
      <xdr:row>0</xdr:row>
      <xdr:rowOff>327025</xdr:rowOff>
    </xdr:to>
    <xdr:pic>
      <xdr:nvPicPr>
        <xdr:cNvPr id="5" name="図 13" descr="imagePROGRAF1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649325" y="85725"/>
          <a:ext cx="1689100" cy="2413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2</xdr:col>
      <xdr:colOff>980791</xdr:colOff>
      <xdr:row>29</xdr:row>
      <xdr:rowOff>371475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6000750"/>
          <a:ext cx="1123666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11</xdr:row>
      <xdr:rowOff>133350</xdr:rowOff>
    </xdr:from>
    <xdr:to>
      <xdr:col>20</xdr:col>
      <xdr:colOff>495300</xdr:colOff>
      <xdr:row>20</xdr:row>
      <xdr:rowOff>252412</xdr:rowOff>
    </xdr:to>
    <xdr:graphicFrame macro="">
      <xdr:nvGraphicFramePr>
        <xdr:cNvPr id="40" name="グラフ 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8</xdr:row>
      <xdr:rowOff>161926</xdr:rowOff>
    </xdr:from>
    <xdr:to>
      <xdr:col>11</xdr:col>
      <xdr:colOff>114300</xdr:colOff>
      <xdr:row>25</xdr:row>
      <xdr:rowOff>114301</xdr:rowOff>
    </xdr:to>
    <xdr:graphicFrame macro="">
      <xdr:nvGraphicFramePr>
        <xdr:cNvPr id="6" name="グラフ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266697</xdr:colOff>
      <xdr:row>48</xdr:row>
      <xdr:rowOff>132522</xdr:rowOff>
    </xdr:from>
    <xdr:to>
      <xdr:col>27</xdr:col>
      <xdr:colOff>85725</xdr:colOff>
      <xdr:row>75</xdr:row>
      <xdr:rowOff>104775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188429</xdr:colOff>
      <xdr:row>18</xdr:row>
      <xdr:rowOff>110157</xdr:rowOff>
    </xdr:from>
    <xdr:to>
      <xdr:col>8</xdr:col>
      <xdr:colOff>483704</xdr:colOff>
      <xdr:row>21</xdr:row>
      <xdr:rowOff>8282</xdr:rowOff>
    </xdr:to>
    <xdr:sp macro="" textlink="">
      <xdr:nvSpPr>
        <xdr:cNvPr id="24" name="右矢印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3203299" y="3249266"/>
          <a:ext cx="295275" cy="444777"/>
        </a:xfrm>
        <a:prstGeom prst="rightArrow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408530</xdr:colOff>
      <xdr:row>8</xdr:row>
      <xdr:rowOff>148826</xdr:rowOff>
    </xdr:from>
    <xdr:to>
      <xdr:col>7</xdr:col>
      <xdr:colOff>95207</xdr:colOff>
      <xdr:row>10</xdr:row>
      <xdr:rowOff>79906</xdr:rowOff>
    </xdr:to>
    <xdr:sp macro="" textlink="Input!$E$16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1675769" y="1465761"/>
          <a:ext cx="672308" cy="2955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9C1A95A9-A6B8-446F-8A05-9D3E0DA0FA48}" type="TxLink">
            <a:rPr lang="en-US" sz="900" b="0" i="0" u="none" strike="noStrike">
              <a:solidFill>
                <a:srgbClr val="000000"/>
              </a:solidFill>
              <a:latin typeface="Century Gothic"/>
            </a:rPr>
            <a:pPr/>
            <a:t>€</a:t>
          </a:fld>
          <a:endParaRPr lang="en-GB" sz="1100"/>
        </a:p>
      </xdr:txBody>
    </xdr:sp>
    <xdr:clientData/>
  </xdr:twoCellAnchor>
  <xdr:twoCellAnchor>
    <xdr:from>
      <xdr:col>5</xdr:col>
      <xdr:colOff>356152</xdr:colOff>
      <xdr:row>73</xdr:row>
      <xdr:rowOff>167333</xdr:rowOff>
    </xdr:from>
    <xdr:to>
      <xdr:col>20</xdr:col>
      <xdr:colOff>206538</xdr:colOff>
      <xdr:row>75</xdr:row>
      <xdr:rowOff>53423</xdr:rowOff>
    </xdr:to>
    <xdr:sp macro="" textlink="Launguage!C73">
      <xdr:nvSpPr>
        <xdr:cNvPr id="41" name="テキスト ボックス 36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1832527" y="11978333"/>
          <a:ext cx="7984736" cy="2289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fld id="{01133DBF-51C7-4D7B-9A74-9CCA81C87D45}" type="TxLink">
            <a:rPr lang="en-US" sz="700" b="0" i="0" u="none" strike="noStrike">
              <a:solidFill>
                <a:srgbClr val="808080"/>
              </a:solidFill>
              <a:latin typeface="Century Gothic"/>
            </a:rPr>
            <a:pPr algn="r"/>
            <a:t>* Schätzung auf der Grundlage von internen Tests bei Canon mit dem oben angegebenen Bild „N5/Cottage“. </a:t>
          </a:fld>
          <a:endParaRPr lang="en-GB" sz="500" b="0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</xdr:col>
      <xdr:colOff>472109</xdr:colOff>
      <xdr:row>74</xdr:row>
      <xdr:rowOff>154081</xdr:rowOff>
    </xdr:from>
    <xdr:to>
      <xdr:col>20</xdr:col>
      <xdr:colOff>207361</xdr:colOff>
      <xdr:row>76</xdr:row>
      <xdr:rowOff>28575</xdr:rowOff>
    </xdr:to>
    <xdr:sp macro="" textlink="Launguage!$C$74">
      <xdr:nvSpPr>
        <xdr:cNvPr id="42" name="テキスト ボックス 36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1948484" y="12136531"/>
          <a:ext cx="7869602" cy="2269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fld id="{8C71C4B3-EAF4-4174-8D10-6EAEF4B98C00}" type="TxLink">
            <a:rPr lang="en-US" sz="700" b="0" i="0" u="none" strike="noStrike">
              <a:solidFill>
                <a:srgbClr val="808080"/>
              </a:solidFill>
              <a:latin typeface="Century Gothic"/>
            </a:rPr>
            <a:pPr algn="r"/>
            <a:t>Die tatsächlichen Kosten sind abhängig vom tatsächlich verwendeten Bild, von den Druckmedien und den Druckbedingungen beim Kunden.</a:t>
          </a:fld>
          <a:endParaRPr lang="en-GB" sz="200" b="0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102704</xdr:colOff>
      <xdr:row>48</xdr:row>
      <xdr:rowOff>92351</xdr:rowOff>
    </xdr:from>
    <xdr:to>
      <xdr:col>5</xdr:col>
      <xdr:colOff>336034</xdr:colOff>
      <xdr:row>49</xdr:row>
      <xdr:rowOff>155953</xdr:rowOff>
    </xdr:to>
    <xdr:sp macro="" textlink="Input!$E$16">
      <xdr:nvSpPr>
        <xdr:cNvPr id="43" name="テキスト ボックス 35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931379" y="7283726"/>
          <a:ext cx="671480" cy="2922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9C1A95A9-A6B8-446F-8A05-9D3E0DA0FA48}" type="TxLink">
            <a:rPr lang="en-US" sz="900" b="0" i="0" u="none" strike="noStrike">
              <a:solidFill>
                <a:srgbClr val="000000"/>
              </a:solidFill>
              <a:latin typeface="Century Gothic"/>
            </a:rPr>
            <a:pPr/>
            <a:t>€</a:t>
          </a:fld>
          <a:endParaRPr lang="en-GB" sz="1100"/>
        </a:p>
      </xdr:txBody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4</xdr:col>
      <xdr:colOff>294431</xdr:colOff>
      <xdr:row>78</xdr:row>
      <xdr:rowOff>371475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29882"/>
          <a:ext cx="1123666" cy="371475"/>
        </a:xfrm>
        <a:prstGeom prst="rect">
          <a:avLst/>
        </a:prstGeom>
      </xdr:spPr>
    </xdr:pic>
    <xdr:clientData/>
  </xdr:twoCellAnchor>
  <xdr:twoCellAnchor>
    <xdr:from>
      <xdr:col>2</xdr:col>
      <xdr:colOff>89648</xdr:colOff>
      <xdr:row>5</xdr:row>
      <xdr:rowOff>0</xdr:rowOff>
    </xdr:from>
    <xdr:to>
      <xdr:col>2</xdr:col>
      <xdr:colOff>377648</xdr:colOff>
      <xdr:row>7</xdr:row>
      <xdr:rowOff>7853</xdr:rowOff>
    </xdr:to>
    <xdr:sp macro="" textlink="">
      <xdr:nvSpPr>
        <xdr:cNvPr id="29" name="角丸四角形 3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302560" y="806824"/>
          <a:ext cx="288000" cy="288000"/>
        </a:xfrm>
        <a:prstGeom prst="round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en-GB" sz="1600" b="1">
              <a:solidFill>
                <a:schemeClr val="bg1"/>
              </a:solidFill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>
    <xdr:from>
      <xdr:col>2</xdr:col>
      <xdr:colOff>89648</xdr:colOff>
      <xdr:row>43</xdr:row>
      <xdr:rowOff>0</xdr:rowOff>
    </xdr:from>
    <xdr:to>
      <xdr:col>2</xdr:col>
      <xdr:colOff>377648</xdr:colOff>
      <xdr:row>44</xdr:row>
      <xdr:rowOff>30825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302560" y="6622676"/>
          <a:ext cx="288000" cy="288561"/>
        </a:xfrm>
        <a:prstGeom prst="round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en-GB" sz="1600" b="1">
              <a:solidFill>
                <a:schemeClr val="bg1"/>
              </a:solidFill>
              <a:latin typeface="Century Gothic" panose="020B0502020202020204" pitchFamily="34" charset="0"/>
            </a:rPr>
            <a:t>3</a:t>
          </a:r>
        </a:p>
      </xdr:txBody>
    </xdr:sp>
    <xdr:clientData/>
  </xdr:twoCellAnchor>
  <xdr:twoCellAnchor>
    <xdr:from>
      <xdr:col>15</xdr:col>
      <xdr:colOff>85725</xdr:colOff>
      <xdr:row>5</xdr:row>
      <xdr:rowOff>0</xdr:rowOff>
    </xdr:from>
    <xdr:to>
      <xdr:col>15</xdr:col>
      <xdr:colOff>377647</xdr:colOff>
      <xdr:row>7</xdr:row>
      <xdr:rowOff>11214</xdr:rowOff>
    </xdr:to>
    <xdr:sp macro="" textlink="">
      <xdr:nvSpPr>
        <xdr:cNvPr id="26" name="角丸四角形 3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6076950" y="971550"/>
          <a:ext cx="291922" cy="287439"/>
        </a:xfrm>
        <a:prstGeom prst="round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en-GB" sz="1600" b="1">
              <a:solidFill>
                <a:schemeClr val="bg1"/>
              </a:solidFill>
              <a:latin typeface="Century Gothic" panose="020B0502020202020204" pitchFamily="34" charset="0"/>
            </a:rPr>
            <a:t>2</a:t>
          </a:r>
        </a:p>
      </xdr:txBody>
    </xdr:sp>
    <xdr:clientData/>
  </xdr:twoCellAnchor>
  <xdr:twoCellAnchor>
    <xdr:from>
      <xdr:col>18</xdr:col>
      <xdr:colOff>175592</xdr:colOff>
      <xdr:row>21</xdr:row>
      <xdr:rowOff>144945</xdr:rowOff>
    </xdr:from>
    <xdr:to>
      <xdr:col>18</xdr:col>
      <xdr:colOff>517664</xdr:colOff>
      <xdr:row>23</xdr:row>
      <xdr:rowOff>97735</xdr:rowOff>
    </xdr:to>
    <xdr:sp macro="" textlink="">
      <xdr:nvSpPr>
        <xdr:cNvPr id="33" name="右矢印 1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 rot="5400000">
          <a:off x="8456958" y="4055579"/>
          <a:ext cx="314740" cy="342072"/>
        </a:xfrm>
        <a:prstGeom prst="rightArrow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113888</xdr:colOff>
      <xdr:row>14</xdr:row>
      <xdr:rowOff>126516</xdr:rowOff>
    </xdr:from>
    <xdr:to>
      <xdr:col>19</xdr:col>
      <xdr:colOff>485776</xdr:colOff>
      <xdr:row>18</xdr:row>
      <xdr:rowOff>57770</xdr:rowOff>
    </xdr:to>
    <xdr:sp macro="" textlink="Table!$U$2">
      <xdr:nvSpPr>
        <xdr:cNvPr id="44" name="テキスト ボックス 19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7771988" y="2707791"/>
          <a:ext cx="1676813" cy="6551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2019FF76-5C0E-41A1-9249-AB684C670BA5}" type="TxLink">
            <a:rPr lang="en-US" sz="1600" b="0" i="0" u="none" strike="noStrike">
              <a:solidFill>
                <a:schemeClr val="bg1"/>
              </a:solidFill>
              <a:latin typeface="Century Gothic"/>
            </a:rPr>
            <a:pPr algn="ctr"/>
            <a:t>72 Stunden</a:t>
          </a:fld>
          <a:endParaRPr lang="en-GB" sz="6600">
            <a:solidFill>
              <a:schemeClr val="bg1"/>
            </a:solidFill>
          </a:endParaRPr>
        </a:p>
      </xdr:txBody>
    </xdr:sp>
    <xdr:clientData/>
  </xdr:twoCellAnchor>
  <xdr:twoCellAnchor>
    <xdr:from>
      <xdr:col>16</xdr:col>
      <xdr:colOff>990600</xdr:colOff>
      <xdr:row>23</xdr:row>
      <xdr:rowOff>133350</xdr:rowOff>
    </xdr:from>
    <xdr:to>
      <xdr:col>20</xdr:col>
      <xdr:colOff>47625</xdr:colOff>
      <xdr:row>37</xdr:row>
      <xdr:rowOff>28575</xdr:rowOff>
    </xdr:to>
    <xdr:graphicFrame macro="">
      <xdr:nvGraphicFramePr>
        <xdr:cNvPr id="45" name="グラフ 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304799</xdr:colOff>
      <xdr:row>28</xdr:row>
      <xdr:rowOff>127137</xdr:rowOff>
    </xdr:from>
    <xdr:to>
      <xdr:col>19</xdr:col>
      <xdr:colOff>323849</xdr:colOff>
      <xdr:row>34</xdr:row>
      <xdr:rowOff>32716</xdr:rowOff>
    </xdr:to>
    <xdr:sp macro="" textlink="Table!$V$2">
      <xdr:nvSpPr>
        <xdr:cNvPr id="46" name="テキスト ボックス 18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7962899" y="4965837"/>
          <a:ext cx="1323975" cy="7056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E9B17C8B-561F-4C63-B765-4E0C3550A197}" type="TxLink">
            <a:rPr lang="en-US" sz="1600" b="0" i="0" u="none" strike="noStrike">
              <a:solidFill>
                <a:sysClr val="windowText" lastClr="000000"/>
              </a:solidFill>
              <a:latin typeface="Century Gothic"/>
            </a:rPr>
            <a:pPr algn="ctr"/>
            <a:t>2 Stunden</a:t>
          </a:fld>
          <a:endParaRPr lang="en-GB" sz="40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13</xdr:row>
          <xdr:rowOff>0</xdr:rowOff>
        </xdr:from>
        <xdr:to>
          <xdr:col>26</xdr:col>
          <xdr:colOff>85725</xdr:colOff>
          <xdr:row>18</xdr:row>
          <xdr:rowOff>47625</xdr:rowOff>
        </xdr:to>
        <xdr:pic>
          <xdr:nvPicPr>
            <xdr:cNvPr id="47" name="図 14">
              <a:extLst>
                <a:ext uri="{FF2B5EF4-FFF2-40B4-BE49-F238E27FC236}">
                  <a16:creationId xmlns:a16="http://schemas.microsoft.com/office/drawing/2014/main" id="{00000000-0008-0000-0100-00002F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Picture1" spid="_x0000_s2275"/>
                </a:ext>
              </a:extLst>
            </xdr:cNvPicPr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1353800" y="2400300"/>
              <a:ext cx="695325" cy="9525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20074</xdr:colOff>
      <xdr:row>0</xdr:row>
      <xdr:rowOff>29754</xdr:rowOff>
    </xdr:from>
    <xdr:to>
      <xdr:col>2</xdr:col>
      <xdr:colOff>236</xdr:colOff>
      <xdr:row>0</xdr:row>
      <xdr:rowOff>819150</xdr:rowOff>
    </xdr:to>
    <xdr:pic>
      <xdr:nvPicPr>
        <xdr:cNvPr id="2" name="Picture 2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74" y="29754"/>
          <a:ext cx="685012" cy="7893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28576</xdr:colOff>
      <xdr:row>1</xdr:row>
      <xdr:rowOff>19050</xdr:rowOff>
    </xdr:from>
    <xdr:to>
      <xdr:col>1</xdr:col>
      <xdr:colOff>685800</xdr:colOff>
      <xdr:row>1</xdr:row>
      <xdr:rowOff>947018</xdr:rowOff>
    </xdr:to>
    <xdr:pic>
      <xdr:nvPicPr>
        <xdr:cNvPr id="4" name="Picture 456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8176" y="857250"/>
          <a:ext cx="657224" cy="92796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123</xdr:row>
      <xdr:rowOff>0</xdr:rowOff>
    </xdr:from>
    <xdr:to>
      <xdr:col>2</xdr:col>
      <xdr:colOff>70313</xdr:colOff>
      <xdr:row>123</xdr:row>
      <xdr:rowOff>371475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7" y="30950647"/>
          <a:ext cx="1123666" cy="3714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0</xdr:rowOff>
    </xdr:from>
    <xdr:to>
      <xdr:col>2</xdr:col>
      <xdr:colOff>171166</xdr:colOff>
      <xdr:row>12</xdr:row>
      <xdr:rowOff>371475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28875"/>
          <a:ext cx="1123666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ano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C00000"/>
      </a:accent1>
      <a:accent2>
        <a:srgbClr val="92D050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N35"/>
  <sheetViews>
    <sheetView showGridLines="0" tabSelected="1" zoomScaleNormal="100" zoomScaleSheetLayoutView="100" workbookViewId="0">
      <pane ySplit="5" topLeftCell="A6" activePane="bottomLeft" state="frozen"/>
      <selection pane="bottomLeft" activeCell="I36" sqref="I36"/>
    </sheetView>
  </sheetViews>
  <sheetFormatPr baseColWidth="10" defaultColWidth="9.1640625" defaultRowHeight="13"/>
  <cols>
    <col min="1" max="1" width="3.1640625" style="251" customWidth="1"/>
    <col min="2" max="2" width="2.1640625" style="251" customWidth="1"/>
    <col min="3" max="3" width="49" style="251" customWidth="1"/>
    <col min="4" max="4" width="19.1640625" style="251" bestFit="1" customWidth="1"/>
    <col min="5" max="5" width="3.83203125" style="251" customWidth="1"/>
    <col min="6" max="6" width="42.1640625" style="251" customWidth="1"/>
    <col min="7" max="7" width="3.6640625" style="251" customWidth="1"/>
    <col min="8" max="8" width="1.6640625" style="251" customWidth="1"/>
    <col min="9" max="9" width="2" style="251" customWidth="1"/>
    <col min="10" max="10" width="49.83203125" style="251" customWidth="1"/>
    <col min="11" max="11" width="15.33203125" style="251" bestFit="1" customWidth="1"/>
    <col min="12" max="12" width="8.83203125" style="251" bestFit="1" customWidth="1"/>
    <col min="13" max="13" width="33.5" style="251" customWidth="1"/>
    <col min="14" max="14" width="3.1640625" style="251" customWidth="1"/>
    <col min="15" max="16384" width="9.1640625" style="251"/>
  </cols>
  <sheetData>
    <row r="1" spans="2:14" s="343" customFormat="1" ht="55" customHeight="1">
      <c r="B1" s="351" t="str">
        <f>HLOOKUP($D$24,Launguage!$D$2:$K$42,2,FALSE)</f>
        <v>Aktueller Workflow mit Outsourcing</v>
      </c>
      <c r="C1" s="351"/>
      <c r="D1" s="351"/>
      <c r="E1" s="351"/>
      <c r="F1" s="351"/>
      <c r="G1" s="344"/>
      <c r="I1" s="351" t="str">
        <f>HLOOKUP($D$24,Launguage!$D$2:$K$42,3,FALSE)</f>
        <v>Neuer Workflow mit Canon iPF</v>
      </c>
      <c r="J1" s="351"/>
      <c r="K1" s="351"/>
      <c r="L1" s="351"/>
    </row>
    <row r="2" spans="2:14" s="203" customFormat="1" ht="15" customHeight="1">
      <c r="C2" s="206" t="str">
        <f>HLOOKUP($D$24,Launguage!$D$2:$K$42,4,FALSE)</f>
        <v>Währung in</v>
      </c>
      <c r="D2" s="202" t="str">
        <f>$D$25</f>
        <v>Euro</v>
      </c>
      <c r="G2" s="204"/>
      <c r="J2" s="207" t="str">
        <f>$C$2&amp;" "&amp;$D$2</f>
        <v>Währung in Euro</v>
      </c>
      <c r="K2" s="205"/>
    </row>
    <row r="3" spans="2:14" s="203" customFormat="1" ht="3" customHeight="1">
      <c r="D3" s="202"/>
      <c r="G3" s="204"/>
      <c r="J3" s="205"/>
      <c r="K3" s="205"/>
    </row>
    <row r="4" spans="2:14" s="203" customFormat="1" ht="14.25" customHeight="1">
      <c r="B4" s="208" t="str">
        <f>HLOOKUP($D$24,Launguage!$D$2:$K$42,5,FALSE)</f>
        <v>Zahlen in nachstehender Tabelle eintragen und/oder auswählen (rot hervorgehobene Zellen)</v>
      </c>
      <c r="D4" s="202"/>
      <c r="G4" s="204"/>
      <c r="J4" s="205"/>
      <c r="K4" s="205"/>
    </row>
    <row r="5" spans="2:14" s="214" customFormat="1" ht="12.75" customHeight="1">
      <c r="B5" s="209"/>
      <c r="C5" s="210"/>
      <c r="D5" s="210"/>
      <c r="E5" s="211"/>
      <c r="F5" s="212" t="str">
        <f>HLOOKUP($D$24,Launguage!$D$2:$K$42,23,FALSE)</f>
        <v>Bemerkung</v>
      </c>
      <c r="G5" s="213"/>
      <c r="I5" s="215"/>
      <c r="J5" s="216"/>
      <c r="K5" s="216"/>
      <c r="L5" s="210"/>
      <c r="M5" s="217" t="str">
        <f>F5</f>
        <v>Bemerkung</v>
      </c>
      <c r="N5" s="218"/>
    </row>
    <row r="6" spans="2:14" s="214" customFormat="1" ht="17.25" customHeight="1">
      <c r="B6" s="219" t="str">
        <f>HLOOKUP($D$24,Launguage!$D$2:$K$42,6,FALSE)</f>
        <v>Druckauftrag</v>
      </c>
      <c r="F6" s="218"/>
      <c r="G6" s="213"/>
      <c r="I6" s="219" t="str">
        <f>B6</f>
        <v>Druckauftrag</v>
      </c>
      <c r="M6" s="218"/>
      <c r="N6" s="218"/>
    </row>
    <row r="7" spans="2:14" s="214" customFormat="1" ht="17.25" customHeight="1">
      <c r="C7" s="220" t="str">
        <f>HLOOKUP($D$24,Launguage!$D$2:$K$42,7,FALSE)</f>
        <v>Ausgabegröße</v>
      </c>
      <c r="D7" s="196" t="s">
        <v>47</v>
      </c>
      <c r="F7" s="221" t="str">
        <f>HLOOKUP($D$24,Launguage!$D$2:$K$42,11,FALSE)</f>
        <v>Bevorzugte Ausgabegröße auswählen</v>
      </c>
      <c r="G7" s="213"/>
      <c r="J7" s="220" t="str">
        <f>C7</f>
        <v>Ausgabegröße</v>
      </c>
      <c r="K7" s="222" t="str">
        <f>D7</f>
        <v>A2</v>
      </c>
      <c r="M7" s="218"/>
      <c r="N7" s="218"/>
    </row>
    <row r="8" spans="2:14" s="214" customFormat="1" ht="17.25" customHeight="1">
      <c r="C8" s="220" t="str">
        <f>HLOOKUP($D$24,Launguage!$D$2:$K$42,8,FALSE)</f>
        <v>Anzahl der Drucke (Blatt pro Monat)</v>
      </c>
      <c r="D8" s="197">
        <v>150</v>
      </c>
      <c r="F8" s="214" t="str">
        <f>Launguage!$C$13</f>
        <v>Blatt</v>
      </c>
      <c r="G8" s="213"/>
      <c r="J8" s="220" t="str">
        <f>C8</f>
        <v>Anzahl der Drucke (Blatt pro Monat)</v>
      </c>
      <c r="K8" s="223">
        <f>D8</f>
        <v>150</v>
      </c>
      <c r="M8" s="218"/>
      <c r="N8" s="218"/>
    </row>
    <row r="9" spans="2:14" s="214" customFormat="1" ht="17.25" customHeight="1">
      <c r="C9" s="220" t="str">
        <f>HLOOKUP($D$24,Launguage!$D$2:$K$42,9,FALSE)</f>
        <v>Typ des Druckbilds</v>
      </c>
      <c r="D9" s="198" t="s">
        <v>783</v>
      </c>
      <c r="F9" s="348" t="str">
        <f>VLOOKUP($D$9,Table!$O$1:$P$10,2,FALSE)</f>
        <v>Foto (ISO JIS SCID Nr.5)</v>
      </c>
      <c r="G9" s="345"/>
      <c r="M9" s="218"/>
      <c r="N9" s="218"/>
    </row>
    <row r="10" spans="2:14" s="214" customFormat="1" ht="17.25" customHeight="1">
      <c r="B10" s="224"/>
      <c r="C10" s="220" t="str">
        <f>HLOOKUP($D$24,Launguage!$D$2:$K$42,10,FALSE)</f>
        <v>Druckmedientyp</v>
      </c>
      <c r="D10" s="198" t="s">
        <v>377</v>
      </c>
      <c r="F10" s="348"/>
      <c r="G10" s="345"/>
      <c r="I10" s="226" t="str">
        <f>HLOOKUP($D$24,Launguage!$D$2:$K$42,24,FALSE)</f>
        <v>Hardware</v>
      </c>
      <c r="J10" s="227"/>
      <c r="K10" s="227"/>
      <c r="M10" s="218"/>
      <c r="N10" s="218"/>
    </row>
    <row r="11" spans="2:14" s="214" customFormat="1" ht="17.25" customHeight="1">
      <c r="F11" s="225"/>
      <c r="G11" s="213"/>
      <c r="J11" s="220" t="str">
        <f>HLOOKUP($D$24,Launguage!$D$2:$K$42,25,FALSE)</f>
        <v>Canon Druckermodell</v>
      </c>
      <c r="K11" s="196" t="s">
        <v>792</v>
      </c>
      <c r="L11" s="346" t="str">
        <f>IF(OR(RefGroesse="A0",RefGroesse="A0",RefGroesse="80cm x 100cm",RefGroesse="120cm x 176cm"),"A0","")</f>
        <v/>
      </c>
      <c r="M11" s="214" t="str">
        <f>VLOOKUP($K$11,Table!$D$1:$F$24,3,FALSE)</f>
        <v>5-Farb-Gerät (24 Zoll)</v>
      </c>
      <c r="N11" s="218"/>
    </row>
    <row r="12" spans="2:14" s="214" customFormat="1" ht="17.25" customHeight="1">
      <c r="F12" s="225"/>
      <c r="G12" s="213"/>
      <c r="J12" s="220" t="str">
        <f>HLOOKUP($D$24,Launguage!$D$2:$K$42,26,FALSE)</f>
        <v>Anschaffungskosten (HW, Installation usw.)</v>
      </c>
      <c r="K12" s="192">
        <v>1000</v>
      </c>
      <c r="L12" s="214" t="str">
        <f>$E$16</f>
        <v>€</v>
      </c>
      <c r="M12" s="218"/>
      <c r="N12" s="218"/>
    </row>
    <row r="13" spans="2:14" s="214" customFormat="1" ht="13.5" customHeight="1">
      <c r="F13" s="225"/>
      <c r="G13" s="213"/>
      <c r="M13" s="218"/>
      <c r="N13" s="218"/>
    </row>
    <row r="14" spans="2:14" s="214" customFormat="1" ht="17.25" customHeight="1">
      <c r="B14" s="219" t="str">
        <f>HLOOKUP($D$24,Launguage!$D$2:$K$42,13,FALSE)</f>
        <v>Outsourcing</v>
      </c>
      <c r="D14" s="228"/>
      <c r="F14" s="218"/>
      <c r="G14" s="213"/>
      <c r="I14" s="219" t="str">
        <f>HLOOKUP($D$24,Launguage!$D$2:$K$42,27,FALSE)</f>
        <v>Verbrauchsmaterial/Service</v>
      </c>
      <c r="M14" s="218"/>
      <c r="N14" s="218"/>
    </row>
    <row r="15" spans="2:14" s="214" customFormat="1">
      <c r="C15" s="229" t="str">
        <f>HLOOKUP($D$24,Launguage!$D$2:$K$42,14,FALSE)</f>
        <v>Rücklaufdauer ab Bestellung(Tage)</v>
      </c>
      <c r="D15" s="199">
        <v>3</v>
      </c>
      <c r="E15" s="221" t="str">
        <f>Launguage!$C$115</f>
        <v>Tage</v>
      </c>
      <c r="G15" s="213"/>
      <c r="J15" s="220" t="str">
        <f>HLOOKUP($D$24,Launguage!$D$2:$K$42,28,FALSE)</f>
        <v>Größe des Tintentanks je Farbe</v>
      </c>
      <c r="K15" s="230">
        <f>VLOOKUP($K$11,Table!$D$1:$E$24,2,FALSE)</f>
        <v>55</v>
      </c>
      <c r="L15" s="214" t="str">
        <f>Launguage!$C$119</f>
        <v>ml</v>
      </c>
      <c r="M15" s="218"/>
      <c r="N15" s="218"/>
    </row>
    <row r="16" spans="2:14" s="214" customFormat="1" ht="17.25" customHeight="1">
      <c r="C16" s="220" t="str">
        <f>HLOOKUP($D$24,Launguage!$D$2:$K$42,15,FALSE)</f>
        <v>Kosten für Plakatgestaltung – pro Monat (A)</v>
      </c>
      <c r="D16" s="200">
        <v>1000</v>
      </c>
      <c r="E16" s="214" t="str">
        <f>VLOOKUP($D$25,Table!$K:$M,2,FALSE)</f>
        <v>€</v>
      </c>
      <c r="F16" s="218"/>
      <c r="G16" s="213"/>
      <c r="J16" s="220" t="str">
        <f>HLOOKUP($D$24,Launguage!$D$2:$K$42,29,FALSE)</f>
        <v>Preis für Tintentank (1× Tintentank 55ml)</v>
      </c>
      <c r="K16" s="192">
        <v>152</v>
      </c>
      <c r="L16" s="214" t="str">
        <f>$E$16</f>
        <v>€</v>
      </c>
      <c r="M16" s="218"/>
      <c r="N16" s="218"/>
    </row>
    <row r="17" spans="2:14" s="214" customFormat="1" ht="17.25" customHeight="1">
      <c r="C17" s="220" t="str">
        <f>HLOOKUP($D$24,Launguage!$D$2:$K$42,16,FALSE)</f>
        <v>Druckkosten – pro Monat (B)</v>
      </c>
      <c r="D17" s="200">
        <v>700</v>
      </c>
      <c r="E17" s="214" t="str">
        <f>$E$16</f>
        <v>€</v>
      </c>
      <c r="F17" s="218"/>
      <c r="G17" s="213"/>
      <c r="J17" s="220" t="str">
        <f>HLOOKUP($D$24,Launguage!$D$2:$K$42,30,FALSE)</f>
        <v>Papierbreite</v>
      </c>
      <c r="K17" s="193" t="s">
        <v>448</v>
      </c>
      <c r="M17" s="218"/>
      <c r="N17" s="218"/>
    </row>
    <row r="18" spans="2:14" s="214" customFormat="1" ht="17.25" customHeight="1">
      <c r="C18" s="220" t="str">
        <f>HLOOKUP($D$24,Launguage!$D$2:$K$42,17,FALSE)</f>
        <v>Transport/Frachtkosten – pro Monat ( C )</v>
      </c>
      <c r="D18" s="200">
        <v>50</v>
      </c>
      <c r="E18" s="214" t="str">
        <f>$E$16</f>
        <v>€</v>
      </c>
      <c r="F18" s="218"/>
      <c r="G18" s="213"/>
      <c r="I18" s="231"/>
      <c r="J18" s="220" t="str">
        <f>HLOOKUP($D$24,Launguage!$D$2:$K$42,31,FALSE)</f>
        <v>Papierlänge</v>
      </c>
      <c r="K18" s="194">
        <v>30</v>
      </c>
      <c r="M18" s="218"/>
      <c r="N18" s="218"/>
    </row>
    <row r="19" spans="2:14" s="214" customFormat="1" ht="17.25" customHeight="1" thickBot="1">
      <c r="C19" s="232" t="str">
        <f>HLOOKUP($D$24,Launguage!$D$2:$K$42,18,FALSE)</f>
        <v>Leasingkosten – pro Monat (D)</v>
      </c>
      <c r="D19" s="201">
        <v>0</v>
      </c>
      <c r="E19" s="214" t="str">
        <f>$E$16</f>
        <v>€</v>
      </c>
      <c r="F19" s="233"/>
      <c r="G19" s="213"/>
      <c r="J19" s="220" t="str">
        <f>HLOOKUP($D$24,Launguage!$D$2:$K$42,32,FALSE)</f>
        <v>Papierpreis (1 Rolle)</v>
      </c>
      <c r="K19" s="192">
        <v>50.1</v>
      </c>
      <c r="L19" s="214" t="str">
        <f>$E$16</f>
        <v>€</v>
      </c>
      <c r="M19" s="218"/>
      <c r="N19" s="218"/>
    </row>
    <row r="20" spans="2:14" s="214" customFormat="1" ht="17.25" customHeight="1" thickTop="1">
      <c r="C20" s="234" t="str">
        <f>HLOOKUP($D$24,Launguage!$D$2:$K$42,19,FALSE)</f>
        <v>Monatliche Gesamtkosten (A+B+C+D)</v>
      </c>
      <c r="D20" s="235">
        <f>D16+D17+D18+D19</f>
        <v>1750</v>
      </c>
      <c r="E20" s="214" t="str">
        <f>$E$16</f>
        <v>€</v>
      </c>
      <c r="F20" s="218"/>
      <c r="G20" s="213"/>
      <c r="J20" s="220" t="str">
        <f>HLOOKUP($D$24,Launguage!$D$2:$K$42,33,FALSE)</f>
        <v>Preis für Druckkopf (1 Stk.)</v>
      </c>
      <c r="K20" s="192">
        <v>448</v>
      </c>
      <c r="L20" s="214" t="str">
        <f>$E$16</f>
        <v>€</v>
      </c>
      <c r="M20" s="218"/>
      <c r="N20" s="218"/>
    </row>
    <row r="21" spans="2:14" s="214" customFormat="1" ht="17.25" customHeight="1">
      <c r="F21" s="218"/>
      <c r="G21" s="213"/>
      <c r="J21" s="220" t="str">
        <f>HLOOKUP($D$24,Launguage!$D$2:$K$42,34,FALSE)</f>
        <v>Preis für Wartungseinschub (1 Stk.)</v>
      </c>
      <c r="K21" s="192">
        <v>83.1</v>
      </c>
      <c r="L21" s="214" t="str">
        <f>$E$16</f>
        <v>€</v>
      </c>
      <c r="M21" s="218"/>
      <c r="N21" s="218"/>
    </row>
    <row r="22" spans="2:14" s="214" customFormat="1" ht="17.25" customHeight="1">
      <c r="B22" s="236"/>
      <c r="C22" s="349" t="str">
        <f>HLOOKUP($D$24,Launguage!$D$2:$K$42,20,FALSE)</f>
        <v>Basisszenario</v>
      </c>
      <c r="D22" s="237"/>
      <c r="E22" s="237"/>
      <c r="F22" s="238"/>
      <c r="G22" s="213"/>
      <c r="I22" s="227"/>
      <c r="J22" s="220" t="str">
        <f>HLOOKUP($D$24,Launguage!$D$2:$K$42,35,FALSE)</f>
        <v>Servicevertrag (ESP) – Preis</v>
      </c>
      <c r="K22" s="195">
        <v>460</v>
      </c>
      <c r="L22" s="214" t="str">
        <f>$E$16</f>
        <v>€</v>
      </c>
    </row>
    <row r="23" spans="2:14" s="214" customFormat="1" ht="17.25" customHeight="1">
      <c r="B23" s="239"/>
      <c r="C23" s="350"/>
      <c r="F23" s="240"/>
      <c r="G23" s="213"/>
      <c r="I23" s="241"/>
      <c r="J23" s="220" t="str">
        <f>HLOOKUP($D$24,Launguage!$D$2:$K$42,36,FALSE)</f>
        <v>Servicevertrag (ESP) – Dauer</v>
      </c>
      <c r="K23" s="190">
        <v>3</v>
      </c>
      <c r="L23" s="214" t="str">
        <f>Launguage!$C$118</f>
        <v>Jahre</v>
      </c>
    </row>
    <row r="24" spans="2:14" s="214" customFormat="1" ht="17.25" customHeight="1">
      <c r="B24" s="239"/>
      <c r="C24" s="242" t="str">
        <f>HLOOKUP($D$24,Launguage!$D$2:$K$122,121,FALSE)</f>
        <v>Sprache</v>
      </c>
      <c r="D24" s="352" t="s">
        <v>735</v>
      </c>
      <c r="E24" s="352"/>
      <c r="F24" s="240"/>
      <c r="G24" s="213"/>
      <c r="I24" s="241"/>
      <c r="J24" s="243"/>
    </row>
    <row r="25" spans="2:14" s="214" customFormat="1" ht="18" customHeight="1">
      <c r="B25" s="239"/>
      <c r="C25" s="242" t="str">
        <f>HLOOKUP($D$24,Launguage!$D$2:$K$42,21,FALSE)</f>
        <v>Währung</v>
      </c>
      <c r="D25" s="352" t="s">
        <v>55</v>
      </c>
      <c r="E25" s="352"/>
      <c r="F25" s="213" t="str">
        <f>"  "&amp;HLOOKUP($D$24,Launguage!$D$2:$K$42,22,FALSE)</f>
        <v xml:space="preserve">   Währung auswählen</v>
      </c>
      <c r="G25" s="213"/>
      <c r="I25" s="219" t="str">
        <f>HLOOKUP($D$24,Launguage!$D$2:$K$42,37,FALSE)</f>
        <v>Sonstiges</v>
      </c>
      <c r="J25" s="244"/>
      <c r="K25" s="244"/>
      <c r="L25" s="244"/>
    </row>
    <row r="26" spans="2:14" s="214" customFormat="1" ht="18" customHeight="1">
      <c r="B26" s="245"/>
      <c r="C26" s="210"/>
      <c r="D26" s="246"/>
      <c r="E26" s="210"/>
      <c r="F26" s="247"/>
      <c r="G26" s="213"/>
      <c r="J26" s="220" t="str">
        <f>HLOOKUP($D$24,Launguage!$D$2:$K$42,38,FALSE)</f>
        <v>Arbeitskosten pro Stunde</v>
      </c>
      <c r="K26" s="190">
        <v>20</v>
      </c>
      <c r="L26" s="248" t="str">
        <f>$E$16&amp;"/"&amp;Launguage!$C$114</f>
        <v>€/Stunden</v>
      </c>
      <c r="M26" s="348" t="str">
        <f>HLOOKUP($D$24,Launguage!$D$2:$K$42,40,FALSE)</f>
        <v>Zur Berechnung der Arbeitskosten für den Druck mit iPF</v>
      </c>
      <c r="N26" s="249"/>
    </row>
    <row r="27" spans="2:14" s="214" customFormat="1" ht="18" customHeight="1">
      <c r="D27" s="228"/>
      <c r="E27" s="250"/>
      <c r="F27" s="218"/>
      <c r="G27" s="213"/>
      <c r="J27" s="220" t="str">
        <f>HLOOKUP($D$24,Launguage!$D$2:$K$42,39,FALSE)</f>
        <v>Stromkosten pro kW/h</v>
      </c>
      <c r="K27" s="191">
        <v>0.2</v>
      </c>
      <c r="L27" s="214" t="str">
        <f>$E$16</f>
        <v>€</v>
      </c>
      <c r="M27" s="348"/>
    </row>
    <row r="28" spans="2:14" s="214" customFormat="1" ht="6" customHeight="1">
      <c r="B28" s="231"/>
      <c r="D28" s="228"/>
      <c r="F28" s="218"/>
    </row>
    <row r="29" spans="2:14" s="214" customFormat="1" ht="18" customHeight="1">
      <c r="D29" s="228"/>
      <c r="F29" s="218"/>
      <c r="I29" s="251"/>
      <c r="J29" s="251"/>
      <c r="K29" s="251"/>
      <c r="L29" s="251"/>
      <c r="M29" s="251"/>
      <c r="N29" s="251"/>
    </row>
    <row r="30" spans="2:14" ht="30" customHeight="1" thickBot="1">
      <c r="B30" s="252"/>
      <c r="C30" s="252"/>
      <c r="D30" s="253"/>
      <c r="E30" s="252"/>
      <c r="F30" s="254"/>
      <c r="G30" s="255"/>
      <c r="H30" s="252"/>
      <c r="I30" s="255"/>
      <c r="J30" s="255"/>
      <c r="K30" s="255"/>
      <c r="L30" s="255"/>
      <c r="M30" s="255"/>
    </row>
    <row r="31" spans="2:14" ht="18" customHeight="1">
      <c r="B31" s="256"/>
      <c r="C31" s="256"/>
      <c r="D31" s="257"/>
      <c r="E31" s="256"/>
      <c r="F31" s="258"/>
      <c r="G31" s="259"/>
      <c r="H31" s="259"/>
      <c r="I31" s="259"/>
      <c r="J31" s="259"/>
      <c r="K31" s="259"/>
      <c r="L31" s="259"/>
      <c r="M31" s="259"/>
    </row>
    <row r="32" spans="2:14" ht="18" customHeight="1">
      <c r="B32" s="260"/>
      <c r="C32" s="214"/>
      <c r="D32" s="261"/>
      <c r="E32" s="260"/>
      <c r="F32" s="262"/>
    </row>
    <row r="33" spans="2:6" ht="18" customHeight="1">
      <c r="B33" s="263"/>
      <c r="C33" s="214"/>
      <c r="D33" s="264"/>
      <c r="E33" s="214"/>
      <c r="F33" s="214"/>
    </row>
    <row r="34" spans="2:6">
      <c r="B34" s="214"/>
      <c r="C34" s="214"/>
      <c r="D34" s="214"/>
      <c r="E34" s="214"/>
      <c r="F34" s="218"/>
    </row>
    <row r="35" spans="2:6">
      <c r="B35" s="265"/>
      <c r="C35" s="250"/>
      <c r="D35" s="250"/>
      <c r="E35" s="250"/>
    </row>
  </sheetData>
  <sheetProtection sheet="1" objects="1" scenarios="1"/>
  <dataConsolidate/>
  <mergeCells count="7">
    <mergeCell ref="M26:M27"/>
    <mergeCell ref="C22:C23"/>
    <mergeCell ref="B1:F1"/>
    <mergeCell ref="I1:L1"/>
    <mergeCell ref="F9:F10"/>
    <mergeCell ref="D25:E25"/>
    <mergeCell ref="D24:E24"/>
  </mergeCells>
  <dataValidations count="3">
    <dataValidation type="whole" operator="greaterThan" allowBlank="1" showInputMessage="1" showErrorMessage="1" sqref="D8 K23" xr:uid="{00000000-0002-0000-0000-000000000000}">
      <formula1>0</formula1>
    </dataValidation>
    <dataValidation type="list" allowBlank="1" showInputMessage="1" showErrorMessage="1" errorTitle="Fehler!" sqref="K11" xr:uid="{00000000-0002-0000-0000-000001000000}">
      <formula1>IF(RefPic="No.5",IF(RefGroesseWahl="A0",ProductNo.5_A0,ProductNo.5),IF(RefGroesseWahl="A0",ProductCottage_A0,ProductCottage))</formula1>
    </dataValidation>
    <dataValidation type="decimal" operator="greaterThan" allowBlank="1" showInputMessage="1" showErrorMessage="1" sqref="K16 K18:K22 K26:K27" xr:uid="{00000000-0002-0000-0000-000002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horizontalDpi="4294967293" verticalDpi="4294967293" r:id="rId1"/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3000000}">
          <x14:formula1>
            <xm:f>Table!$O$2:$O$3</xm:f>
          </x14:formula1>
          <xm:sqref>D9</xm:sqref>
        </x14:dataValidation>
        <x14:dataValidation type="list" allowBlank="1" showInputMessage="1" showErrorMessage="1" xr:uid="{00000000-0002-0000-0000-000004000000}">
          <x14:formula1>
            <xm:f>Table!$X$2:$X$3</xm:f>
          </x14:formula1>
          <xm:sqref>D10</xm:sqref>
        </x14:dataValidation>
        <x14:dataValidation type="list" allowBlank="1" showInputMessage="1" showErrorMessage="1" xr:uid="{00000000-0002-0000-0000-000005000000}">
          <x14:formula1>
            <xm:f>Table!$AF$2:$AF$9</xm:f>
          </x14:formula1>
          <xm:sqref>D24:E24</xm:sqref>
        </x14:dataValidation>
        <x14:dataValidation type="list" allowBlank="1" showInputMessage="1" showErrorMessage="1" xr:uid="{00000000-0002-0000-0000-000006000000}">
          <x14:formula1>
            <xm:f>Table!$A$2:$A$21</xm:f>
          </x14:formula1>
          <xm:sqref>K17</xm:sqref>
        </x14:dataValidation>
        <x14:dataValidation type="list" allowBlank="1" showInputMessage="1" showErrorMessage="1" errorTitle="Nicht verfügbar!" error="Bitte neu wählen." xr:uid="{00000000-0002-0000-0000-000007000000}">
          <x14:formula1>
            <xm:f>Table!$H$2:$H$10</xm:f>
          </x14:formula1>
          <xm:sqref>D7</xm:sqref>
        </x14:dataValidation>
        <x14:dataValidation type="list" allowBlank="1" showInputMessage="1" showErrorMessage="1" xr:uid="{00000000-0002-0000-0000-000008000000}">
          <x14:formula1>
            <xm:f>Table!$K$2:$K$21</xm:f>
          </x14:formula1>
          <xm:sqref>D25:E25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  <pageSetUpPr fitToPage="1"/>
  </sheetPr>
  <dimension ref="B1:AC84"/>
  <sheetViews>
    <sheetView showGridLines="0" zoomScaleNormal="100" zoomScaleSheetLayoutView="100" zoomScalePageLayoutView="55" workbookViewId="0">
      <selection activeCell="P33" sqref="P33"/>
    </sheetView>
  </sheetViews>
  <sheetFormatPr baseColWidth="10" defaultColWidth="9.1640625" defaultRowHeight="13"/>
  <cols>
    <col min="1" max="1" width="3.1640625" style="1" customWidth="1"/>
    <col min="2" max="2" width="3.1640625" style="23" customWidth="1"/>
    <col min="3" max="3" width="6.5" style="23" customWidth="1"/>
    <col min="4" max="4" width="2.6640625" style="23" customWidth="1"/>
    <col min="5" max="5" width="6.5" style="23" customWidth="1"/>
    <col min="6" max="6" width="14" style="24" customWidth="1"/>
    <col min="7" max="7" width="0.6640625" style="24" customWidth="1"/>
    <col min="8" max="8" width="11.5" style="23" customWidth="1"/>
    <col min="9" max="9" width="12" style="23" customWidth="1"/>
    <col min="10" max="10" width="8.83203125" style="23" customWidth="1"/>
    <col min="11" max="11" width="7.1640625" style="23" customWidth="1"/>
    <col min="12" max="12" width="7.33203125" style="23" customWidth="1"/>
    <col min="13" max="15" width="3.1640625" style="23" customWidth="1"/>
    <col min="16" max="16" width="6.5" style="23" customWidth="1"/>
    <col min="17" max="17" width="15.6640625" style="1" customWidth="1"/>
    <col min="18" max="18" width="9.1640625" style="1"/>
    <col min="19" max="19" width="10.5" style="1" bestFit="1" customWidth="1"/>
    <col min="20" max="20" width="9.1640625" style="1"/>
    <col min="21" max="21" width="8.1640625" style="1" customWidth="1"/>
    <col min="22" max="24" width="3.1640625" style="1" customWidth="1"/>
    <col min="25" max="26" width="9.1640625" style="1"/>
    <col min="27" max="27" width="16.5" style="1" customWidth="1"/>
    <col min="28" max="28" width="9.1640625" style="1"/>
    <col min="29" max="30" width="3.1640625" style="1" customWidth="1"/>
    <col min="31" max="16384" width="9.1640625" style="1"/>
  </cols>
  <sheetData>
    <row r="1" spans="2:29" ht="8.25" customHeight="1"/>
    <row r="2" spans="2:29" ht="25">
      <c r="B2" s="270" t="str">
        <f>HLOOKUP(Input!$D$24,Launguage!$D$2:$K$160,42,FALSE)</f>
        <v>Vergleich der Kapitalrendite</v>
      </c>
      <c r="D2" s="31"/>
      <c r="E2" s="31"/>
    </row>
    <row r="3" spans="2:29" ht="15.75" customHeight="1">
      <c r="B3" s="176" t="str">
        <f>"- "&amp;HLOOKUP(Input!$D$24,Launguage!$D$2:$K$160,43,FALSE)&amp;" "&amp;Input!$K$11&amp; " -"</f>
        <v>- Aktueller Workflow und neuer Workflow mit Canon TA-20 -</v>
      </c>
      <c r="C3" s="1"/>
      <c r="K3" s="173"/>
    </row>
    <row r="4" spans="2:29" ht="13.5" customHeight="1">
      <c r="C4" s="176"/>
      <c r="K4" s="173"/>
    </row>
    <row r="5" spans="2:29" ht="13.5" customHeight="1">
      <c r="B5" s="305"/>
      <c r="C5" s="305"/>
      <c r="D5" s="305"/>
      <c r="E5" s="305"/>
      <c r="F5" s="306"/>
      <c r="G5" s="307"/>
      <c r="H5" s="305"/>
      <c r="I5" s="305"/>
      <c r="J5" s="305"/>
      <c r="K5" s="305"/>
      <c r="L5" s="305"/>
      <c r="M5" s="305"/>
      <c r="O5" s="305"/>
      <c r="P5" s="305"/>
      <c r="Q5" s="313"/>
      <c r="R5" s="313"/>
      <c r="S5" s="313"/>
      <c r="T5" s="313"/>
      <c r="U5" s="313"/>
      <c r="W5" s="317"/>
      <c r="X5" s="317"/>
      <c r="Y5" s="317"/>
      <c r="Z5" s="317"/>
      <c r="AA5" s="317"/>
      <c r="AB5" s="317"/>
      <c r="AC5" s="317"/>
    </row>
    <row r="6" spans="2:29" ht="20.25" customHeight="1">
      <c r="B6" s="305"/>
      <c r="C6" s="305"/>
      <c r="D6" s="308" t="str">
        <f>HLOOKUP(Input!$D$24,Launguage!$D$2:$K$160,44,FALSE)</f>
        <v>Monatliche Kosten</v>
      </c>
      <c r="E6" s="305"/>
      <c r="F6" s="309"/>
      <c r="G6" s="307"/>
      <c r="H6" s="305"/>
      <c r="I6" s="305"/>
      <c r="J6" s="305"/>
      <c r="K6" s="305"/>
      <c r="L6" s="305"/>
      <c r="M6" s="305"/>
      <c r="O6" s="305"/>
      <c r="P6" s="305"/>
      <c r="Q6" s="314" t="str">
        <f>HLOOKUP(Input!$D$24,Launguage!$D$2:$K$160,61,FALSE)</f>
        <v>Durchlaufzeit</v>
      </c>
      <c r="R6" s="313"/>
      <c r="S6" s="313"/>
      <c r="T6" s="313"/>
      <c r="U6" s="313"/>
      <c r="W6" s="317"/>
      <c r="X6" s="318" t="str">
        <f>Launguage!$C$75</f>
        <v>Bedingungen</v>
      </c>
      <c r="Y6" s="318"/>
      <c r="Z6" s="317"/>
      <c r="AA6" s="317"/>
      <c r="AB6" s="317"/>
      <c r="AC6" s="317"/>
    </row>
    <row r="7" spans="2:29" ht="1.5" customHeight="1">
      <c r="B7" s="305"/>
      <c r="C7" s="305"/>
      <c r="D7" s="305"/>
      <c r="E7" s="305"/>
      <c r="F7" s="306"/>
      <c r="G7" s="307"/>
      <c r="H7" s="305"/>
      <c r="I7" s="305"/>
      <c r="J7" s="305"/>
      <c r="K7" s="305"/>
      <c r="L7" s="305"/>
      <c r="M7" s="305"/>
      <c r="O7" s="305"/>
      <c r="P7" s="305"/>
      <c r="Q7" s="305"/>
      <c r="R7" s="313"/>
      <c r="S7" s="313"/>
      <c r="T7" s="313"/>
      <c r="U7" s="313"/>
      <c r="W7" s="317"/>
      <c r="X7" s="319"/>
      <c r="Y7" s="317"/>
      <c r="Z7" s="317"/>
      <c r="AA7" s="317"/>
      <c r="AB7" s="317"/>
      <c r="AC7" s="317"/>
    </row>
    <row r="8" spans="2:29" ht="20" customHeight="1">
      <c r="B8" s="305"/>
      <c r="C8" s="305"/>
      <c r="D8" s="310" t="str">
        <f>Launguage!$C$46 &amp;" " &amp; monthly!$E$20 &amp; Input!$E$16 &amp;" " &amp; Launguage!$C$47</f>
        <v>Sie sparen 1292€ pro Monat</v>
      </c>
      <c r="E8" s="311"/>
      <c r="F8" s="307"/>
      <c r="G8" s="307"/>
      <c r="H8" s="305"/>
      <c r="I8" s="305"/>
      <c r="J8" s="305"/>
      <c r="K8" s="305"/>
      <c r="L8" s="305"/>
      <c r="M8" s="305"/>
      <c r="O8" s="305"/>
      <c r="P8" s="305"/>
      <c r="Q8" s="355" t="str">
        <f>Launguage!$C$63&amp;" "&amp;monthly!$C$26 &amp; Launguage!$C$64</f>
        <v>Die aktuelle Wartezeit wird um 97% verkürzt</v>
      </c>
      <c r="R8" s="355"/>
      <c r="S8" s="355"/>
      <c r="T8" s="355"/>
      <c r="U8" s="355"/>
      <c r="W8" s="317"/>
      <c r="X8" s="319"/>
      <c r="Y8" s="320" t="str">
        <f>" - "&amp;Launguage!$C$76&amp;" : "&amp;Input!$D$8&amp;" "&amp;Launguage!$C$13</f>
        <v xml:space="preserve"> - Anzahl der Drucke pro Monat : 150 Blatt</v>
      </c>
      <c r="Z8" s="317"/>
      <c r="AA8" s="317"/>
      <c r="AB8" s="317"/>
      <c r="AC8" s="317"/>
    </row>
    <row r="9" spans="2:29" ht="14.25" customHeight="1">
      <c r="B9" s="305"/>
      <c r="C9" s="305"/>
      <c r="D9" s="305"/>
      <c r="E9" s="305" t="str">
        <f>"       ("&amp; monthly!$D$20 &amp; Launguage!$C$48</f>
        <v xml:space="preserve">       (74% des aktuellen Workflows)</v>
      </c>
      <c r="F9" s="306"/>
      <c r="G9" s="307"/>
      <c r="H9" s="305"/>
      <c r="I9" s="305"/>
      <c r="J9" s="305"/>
      <c r="K9" s="305"/>
      <c r="L9" s="305"/>
      <c r="M9" s="305"/>
      <c r="O9" s="305"/>
      <c r="P9" s="305"/>
      <c r="Q9" s="355"/>
      <c r="R9" s="355"/>
      <c r="S9" s="355"/>
      <c r="T9" s="355"/>
      <c r="U9" s="355"/>
      <c r="W9" s="317"/>
      <c r="X9" s="319"/>
      <c r="Y9" s="320" t="str">
        <f>" - "&amp;Launguage!$C$77&amp;" : "&amp;Input!$D$7</f>
        <v xml:space="preserve"> - Ausgabegröße : A2</v>
      </c>
      <c r="Z9" s="317"/>
      <c r="AA9" s="317"/>
      <c r="AB9" s="317"/>
      <c r="AC9" s="317"/>
    </row>
    <row r="10" spans="2:29" ht="14.25" customHeight="1">
      <c r="B10" s="305"/>
      <c r="C10" s="305"/>
      <c r="D10" s="305"/>
      <c r="E10" s="305"/>
      <c r="F10" s="306"/>
      <c r="G10" s="307"/>
      <c r="H10" s="305"/>
      <c r="I10" s="305"/>
      <c r="J10" s="305"/>
      <c r="K10" s="305"/>
      <c r="L10" s="305"/>
      <c r="M10" s="305"/>
      <c r="O10" s="305"/>
      <c r="P10" s="305"/>
      <c r="Q10" s="313"/>
      <c r="R10" s="313"/>
      <c r="S10" s="313"/>
      <c r="T10" s="313"/>
      <c r="U10" s="313"/>
      <c r="W10" s="317"/>
      <c r="X10" s="319"/>
      <c r="Y10" s="320" t="str">
        <f>" - "&amp;Launguage!$C$78</f>
        <v xml:space="preserve"> - Druckmodus: Standard</v>
      </c>
      <c r="Z10" s="317"/>
      <c r="AA10" s="317"/>
      <c r="AB10" s="317"/>
      <c r="AC10" s="317"/>
    </row>
    <row r="11" spans="2:29" ht="14.25" customHeight="1">
      <c r="B11" s="305"/>
      <c r="C11" s="305"/>
      <c r="D11" s="305"/>
      <c r="E11" s="305"/>
      <c r="F11" s="306"/>
      <c r="G11" s="307"/>
      <c r="H11" s="305"/>
      <c r="I11" s="305"/>
      <c r="J11" s="305"/>
      <c r="K11" s="305"/>
      <c r="L11" s="305"/>
      <c r="M11" s="305"/>
      <c r="O11" s="305"/>
      <c r="P11" s="305"/>
      <c r="Q11" s="313"/>
      <c r="R11" s="313"/>
      <c r="S11" s="313"/>
      <c r="T11" s="313"/>
      <c r="U11" s="313"/>
      <c r="W11" s="317"/>
      <c r="X11" s="319"/>
      <c r="Y11" s="320" t="str">
        <f>" - "&amp;Launguage!$C$79&amp;" : "&amp;Input!$D$10</f>
        <v xml:space="preserve"> - Druckmedientyp : Beschichtetes Papier</v>
      </c>
      <c r="Z11" s="317"/>
      <c r="AA11" s="317"/>
      <c r="AB11" s="317"/>
      <c r="AC11" s="317"/>
    </row>
    <row r="12" spans="2:29" ht="14.25" customHeight="1">
      <c r="B12" s="305"/>
      <c r="C12" s="305"/>
      <c r="D12" s="305"/>
      <c r="E12" s="305"/>
      <c r="F12" s="306"/>
      <c r="G12" s="307"/>
      <c r="H12" s="305"/>
      <c r="I12" s="305"/>
      <c r="J12" s="305"/>
      <c r="K12" s="305"/>
      <c r="L12" s="305"/>
      <c r="M12" s="305"/>
      <c r="O12" s="305"/>
      <c r="P12" s="305"/>
      <c r="Q12" s="313"/>
      <c r="R12" s="313"/>
      <c r="S12" s="313"/>
      <c r="T12" s="313"/>
      <c r="U12" s="313"/>
      <c r="W12" s="317"/>
      <c r="X12" s="319"/>
      <c r="Y12" s="320" t="str">
        <f>" - "&amp;Launguage!$C$80&amp;" : "&amp;Input!$D$9</f>
        <v xml:space="preserve"> - Druckbild : Foto</v>
      </c>
      <c r="Z12" s="317"/>
      <c r="AA12" s="317"/>
      <c r="AB12" s="317"/>
      <c r="AC12" s="317"/>
    </row>
    <row r="13" spans="2:29" ht="14.25" customHeight="1">
      <c r="B13" s="305"/>
      <c r="C13" s="305"/>
      <c r="D13" s="305"/>
      <c r="E13" s="305"/>
      <c r="F13" s="306"/>
      <c r="G13" s="307"/>
      <c r="H13" s="305"/>
      <c r="I13" s="305"/>
      <c r="J13" s="305"/>
      <c r="K13" s="305"/>
      <c r="L13" s="305"/>
      <c r="M13" s="305"/>
      <c r="O13" s="305"/>
      <c r="P13" s="305"/>
      <c r="Q13" s="313"/>
      <c r="R13" s="313"/>
      <c r="S13" s="313"/>
      <c r="T13" s="313"/>
      <c r="U13" s="313"/>
      <c r="W13" s="317"/>
      <c r="X13" s="317"/>
      <c r="Y13" s="317"/>
      <c r="Z13" s="317"/>
      <c r="AA13" s="317"/>
      <c r="AB13" s="317"/>
      <c r="AC13" s="317"/>
    </row>
    <row r="14" spans="2:29" ht="14.25" customHeight="1">
      <c r="B14" s="305"/>
      <c r="C14" s="305"/>
      <c r="D14" s="305"/>
      <c r="E14" s="305"/>
      <c r="F14" s="306"/>
      <c r="G14" s="307"/>
      <c r="H14" s="305"/>
      <c r="I14" s="305"/>
      <c r="J14" s="305"/>
      <c r="K14" s="305"/>
      <c r="L14" s="305"/>
      <c r="M14" s="305"/>
      <c r="O14" s="305"/>
      <c r="P14" s="305"/>
      <c r="Q14" s="315"/>
      <c r="R14" s="313"/>
      <c r="S14" s="313"/>
      <c r="T14" s="313"/>
      <c r="U14" s="313"/>
      <c r="W14" s="317"/>
      <c r="X14" s="317"/>
      <c r="Y14" s="317"/>
      <c r="Z14" s="317"/>
      <c r="AA14" s="317"/>
      <c r="AB14" s="317"/>
      <c r="AC14" s="317"/>
    </row>
    <row r="15" spans="2:29" ht="14.25" customHeight="1">
      <c r="B15" s="305"/>
      <c r="C15" s="305"/>
      <c r="D15" s="305"/>
      <c r="E15" s="305"/>
      <c r="F15" s="306"/>
      <c r="G15" s="307"/>
      <c r="H15" s="305"/>
      <c r="I15" s="305"/>
      <c r="J15" s="305"/>
      <c r="K15" s="305"/>
      <c r="L15" s="305"/>
      <c r="M15" s="305"/>
      <c r="O15" s="305"/>
      <c r="P15" s="305"/>
      <c r="Q15" s="313"/>
      <c r="R15" s="313"/>
      <c r="S15" s="313"/>
      <c r="T15" s="313"/>
      <c r="U15" s="313"/>
      <c r="W15" s="317"/>
      <c r="X15" s="317"/>
      <c r="Y15" s="317"/>
      <c r="Z15" s="317"/>
      <c r="AA15" s="317"/>
      <c r="AB15" s="317"/>
      <c r="AC15" s="317"/>
    </row>
    <row r="16" spans="2:29" ht="14.25" customHeight="1">
      <c r="B16" s="305"/>
      <c r="C16" s="305"/>
      <c r="D16" s="305"/>
      <c r="E16" s="305"/>
      <c r="F16" s="306"/>
      <c r="G16" s="307"/>
      <c r="H16" s="305"/>
      <c r="I16" s="305"/>
      <c r="J16" s="305"/>
      <c r="K16" s="305"/>
      <c r="L16" s="305"/>
      <c r="M16" s="305"/>
      <c r="O16" s="305"/>
      <c r="P16" s="353" t="str">
        <f>Launguage!$C$49</f>
        <v>Aktuell</v>
      </c>
      <c r="Q16" s="353"/>
      <c r="R16" s="313"/>
      <c r="S16" s="313"/>
      <c r="T16" s="313"/>
      <c r="U16" s="313"/>
      <c r="W16" s="317"/>
      <c r="X16" s="317"/>
      <c r="Y16" s="317"/>
      <c r="Z16" s="317"/>
      <c r="AA16" s="317"/>
      <c r="AB16" s="317"/>
      <c r="AC16" s="317"/>
    </row>
    <row r="17" spans="2:29" ht="14.25" customHeight="1">
      <c r="B17" s="305"/>
      <c r="C17" s="305"/>
      <c r="D17" s="305"/>
      <c r="E17" s="305"/>
      <c r="F17" s="306"/>
      <c r="G17" s="307"/>
      <c r="H17" s="305"/>
      <c r="I17" s="305"/>
      <c r="J17" s="305"/>
      <c r="K17" s="305"/>
      <c r="L17" s="305"/>
      <c r="M17" s="305"/>
      <c r="O17" s="305"/>
      <c r="P17" s="353"/>
      <c r="Q17" s="353"/>
      <c r="R17" s="313"/>
      <c r="S17" s="313"/>
      <c r="T17" s="313"/>
      <c r="U17" s="313"/>
      <c r="W17" s="317"/>
      <c r="X17" s="317"/>
      <c r="Y17" s="317"/>
      <c r="Z17" s="317"/>
      <c r="AA17" s="317"/>
      <c r="AB17" s="317"/>
      <c r="AC17" s="317"/>
    </row>
    <row r="18" spans="2:29" ht="14.25" customHeight="1">
      <c r="B18" s="305"/>
      <c r="C18" s="305"/>
      <c r="D18" s="305"/>
      <c r="E18" s="305"/>
      <c r="F18" s="306"/>
      <c r="G18" s="307"/>
      <c r="H18" s="305"/>
      <c r="I18" s="305"/>
      <c r="J18" s="305"/>
      <c r="K18" s="305"/>
      <c r="L18" s="305"/>
      <c r="M18" s="305"/>
      <c r="O18" s="305"/>
      <c r="P18" s="305"/>
      <c r="Q18" s="313"/>
      <c r="R18" s="313"/>
      <c r="S18" s="313"/>
      <c r="T18" s="313"/>
      <c r="U18" s="313"/>
      <c r="W18" s="317"/>
      <c r="X18" s="317"/>
      <c r="Y18" s="317"/>
      <c r="Z18" s="317"/>
      <c r="AA18" s="317"/>
      <c r="AB18" s="317"/>
      <c r="AC18" s="317"/>
    </row>
    <row r="19" spans="2:29" ht="14.25" customHeight="1">
      <c r="B19" s="305"/>
      <c r="C19" s="305"/>
      <c r="D19" s="305"/>
      <c r="E19" s="305"/>
      <c r="F19" s="306"/>
      <c r="G19" s="307"/>
      <c r="H19" s="305"/>
      <c r="I19" s="305"/>
      <c r="J19" s="305"/>
      <c r="K19" s="305"/>
      <c r="L19" s="305"/>
      <c r="M19" s="305"/>
      <c r="O19" s="305"/>
      <c r="P19" s="305"/>
      <c r="Q19" s="313"/>
      <c r="R19" s="313"/>
      <c r="S19" s="313"/>
      <c r="T19" s="313"/>
      <c r="U19" s="313"/>
      <c r="W19" s="317"/>
      <c r="X19" s="317"/>
      <c r="Y19" s="317"/>
      <c r="Z19" s="317"/>
      <c r="AA19" s="317"/>
      <c r="AB19" s="317"/>
      <c r="AC19" s="317"/>
    </row>
    <row r="20" spans="2:29" ht="14.25" customHeight="1">
      <c r="B20" s="305"/>
      <c r="C20" s="305"/>
      <c r="D20" s="305"/>
      <c r="E20" s="305"/>
      <c r="F20" s="306"/>
      <c r="G20" s="307"/>
      <c r="H20" s="305"/>
      <c r="I20" s="305"/>
      <c r="J20" s="305"/>
      <c r="K20" s="305"/>
      <c r="L20" s="305"/>
      <c r="M20" s="305"/>
      <c r="O20" s="305"/>
      <c r="P20" s="305"/>
      <c r="Q20" s="313"/>
      <c r="R20" s="313"/>
      <c r="S20" s="313"/>
      <c r="T20" s="313"/>
      <c r="U20" s="313"/>
      <c r="W20" s="317"/>
      <c r="X20" s="317"/>
      <c r="Y20" s="317"/>
      <c r="Z20" s="317"/>
      <c r="AA20" s="317"/>
      <c r="AB20" s="317"/>
      <c r="AC20" s="317"/>
    </row>
    <row r="21" spans="2:29" ht="20.25" customHeight="1">
      <c r="B21" s="305"/>
      <c r="C21" s="305"/>
      <c r="D21" s="305"/>
      <c r="E21" s="305"/>
      <c r="F21" s="306"/>
      <c r="G21" s="307"/>
      <c r="H21" s="305"/>
      <c r="I21" s="305"/>
      <c r="J21" s="305"/>
      <c r="K21" s="305"/>
      <c r="L21" s="305"/>
      <c r="M21" s="305"/>
      <c r="O21" s="305"/>
      <c r="P21" s="305"/>
      <c r="Q21" s="313"/>
      <c r="R21" s="313"/>
      <c r="S21" s="313"/>
      <c r="T21" s="313"/>
      <c r="U21" s="313"/>
      <c r="W21" s="317"/>
      <c r="X21" s="317"/>
      <c r="Y21" s="317"/>
      <c r="Z21" s="317"/>
      <c r="AA21" s="317"/>
      <c r="AB21" s="317"/>
      <c r="AC21" s="317"/>
    </row>
    <row r="22" spans="2:29" ht="14.25" customHeight="1">
      <c r="B22" s="305"/>
      <c r="C22" s="305"/>
      <c r="D22" s="305"/>
      <c r="E22" s="305"/>
      <c r="F22" s="306"/>
      <c r="G22" s="307"/>
      <c r="H22" s="305"/>
      <c r="I22" s="305"/>
      <c r="J22" s="305"/>
      <c r="K22" s="305"/>
      <c r="L22" s="305"/>
      <c r="M22" s="305"/>
      <c r="O22" s="305"/>
      <c r="P22" s="305"/>
      <c r="Q22" s="313"/>
      <c r="R22" s="313"/>
      <c r="S22" s="313"/>
      <c r="T22" s="313"/>
      <c r="U22" s="313"/>
      <c r="W22" s="317"/>
      <c r="X22" s="317"/>
      <c r="Y22" s="317"/>
      <c r="Z22" s="317"/>
      <c r="AA22" s="317"/>
      <c r="AB22" s="317"/>
      <c r="AC22" s="317"/>
    </row>
    <row r="23" spans="2:29" ht="14.25" customHeight="1">
      <c r="B23" s="305"/>
      <c r="C23" s="305"/>
      <c r="D23" s="305"/>
      <c r="E23" s="305"/>
      <c r="F23" s="306"/>
      <c r="G23" s="307"/>
      <c r="H23" s="305"/>
      <c r="I23" s="305"/>
      <c r="J23" s="305"/>
      <c r="K23" s="305"/>
      <c r="L23" s="305"/>
      <c r="M23" s="312"/>
      <c r="N23" s="271"/>
      <c r="O23" s="312"/>
      <c r="P23" s="354"/>
      <c r="Q23" s="354"/>
      <c r="R23" s="354"/>
      <c r="S23" s="354"/>
      <c r="T23" s="354"/>
      <c r="U23" s="312"/>
      <c r="W23" s="317"/>
      <c r="X23" s="317"/>
      <c r="Y23" s="317"/>
      <c r="Z23" s="317"/>
      <c r="AA23" s="317"/>
      <c r="AB23" s="317"/>
      <c r="AC23" s="317"/>
    </row>
    <row r="24" spans="2:29" ht="14.25" customHeight="1">
      <c r="B24" s="305"/>
      <c r="C24" s="305"/>
      <c r="D24" s="305"/>
      <c r="E24" s="305"/>
      <c r="F24" s="306"/>
      <c r="G24" s="307"/>
      <c r="H24" s="305"/>
      <c r="I24" s="305"/>
      <c r="J24" s="305"/>
      <c r="K24" s="305"/>
      <c r="L24" s="305"/>
      <c r="M24" s="312"/>
      <c r="N24" s="271"/>
      <c r="O24" s="312"/>
      <c r="P24" s="312"/>
      <c r="Q24" s="312"/>
      <c r="R24" s="312"/>
      <c r="S24" s="312"/>
      <c r="T24" s="312"/>
      <c r="U24" s="312"/>
      <c r="W24" s="317"/>
      <c r="X24" s="317"/>
      <c r="Y24" s="317"/>
      <c r="Z24" s="317"/>
      <c r="AA24" s="317"/>
      <c r="AB24" s="317"/>
      <c r="AC24" s="317"/>
    </row>
    <row r="25" spans="2:29" ht="14.25" customHeight="1">
      <c r="B25" s="305"/>
      <c r="C25" s="305"/>
      <c r="D25" s="305"/>
      <c r="E25" s="305"/>
      <c r="F25" s="306"/>
      <c r="G25" s="307"/>
      <c r="H25" s="305"/>
      <c r="I25" s="305"/>
      <c r="J25" s="305"/>
      <c r="K25" s="305"/>
      <c r="L25" s="305"/>
      <c r="M25" s="305"/>
      <c r="O25" s="305"/>
      <c r="P25" s="305"/>
      <c r="Q25" s="313"/>
      <c r="R25" s="313"/>
      <c r="S25" s="313"/>
      <c r="T25" s="313"/>
      <c r="U25" s="313"/>
      <c r="W25" s="317"/>
      <c r="X25" s="317"/>
      <c r="Y25" s="317"/>
      <c r="Z25" s="317"/>
      <c r="AA25" s="317"/>
      <c r="AB25" s="317"/>
      <c r="AC25" s="317"/>
    </row>
    <row r="26" spans="2:29" ht="13.5" customHeight="1">
      <c r="B26" s="305"/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313"/>
      <c r="N26" s="1"/>
      <c r="O26" s="313"/>
      <c r="P26" s="313"/>
      <c r="Q26" s="313"/>
      <c r="R26" s="313"/>
      <c r="S26" s="313"/>
      <c r="T26" s="313"/>
      <c r="U26" s="313"/>
      <c r="W26" s="317"/>
      <c r="X26" s="317"/>
      <c r="Y26" s="317"/>
      <c r="Z26" s="317"/>
      <c r="AA26" s="317"/>
      <c r="AB26" s="317"/>
      <c r="AC26" s="317"/>
    </row>
    <row r="27" spans="2:29" ht="1" customHeight="1">
      <c r="B27" s="305"/>
      <c r="C27" s="313"/>
      <c r="D27" s="1"/>
      <c r="E27" s="1"/>
      <c r="F27" s="1"/>
      <c r="G27" s="1"/>
      <c r="H27" s="174"/>
      <c r="I27" s="1"/>
      <c r="J27" s="174"/>
      <c r="K27" s="1"/>
      <c r="L27" s="313"/>
      <c r="M27" s="313"/>
      <c r="N27" s="1"/>
      <c r="O27" s="313"/>
      <c r="P27" s="313"/>
      <c r="Q27" s="315"/>
      <c r="R27" s="313"/>
      <c r="S27" s="313"/>
      <c r="T27" s="313"/>
      <c r="U27" s="313"/>
      <c r="W27" s="317"/>
      <c r="X27" s="317"/>
      <c r="Y27" s="317"/>
      <c r="Z27" s="317"/>
      <c r="AA27" s="317"/>
      <c r="AB27" s="317"/>
      <c r="AC27" s="317"/>
    </row>
    <row r="28" spans="2:29" ht="1" customHeight="1">
      <c r="B28" s="305"/>
      <c r="C28" s="313"/>
      <c r="D28" s="1"/>
      <c r="E28" s="1"/>
      <c r="F28" s="1"/>
      <c r="G28" s="1"/>
      <c r="H28" s="1"/>
      <c r="I28" s="1"/>
      <c r="J28" s="1"/>
      <c r="K28" s="1"/>
      <c r="L28" s="313"/>
      <c r="M28" s="313"/>
      <c r="N28" s="1"/>
      <c r="O28" s="313"/>
      <c r="P28" s="313"/>
      <c r="Q28" s="313"/>
      <c r="R28" s="313"/>
      <c r="S28" s="313"/>
      <c r="T28" s="313"/>
      <c r="U28" s="313"/>
      <c r="W28" s="317"/>
      <c r="X28" s="317"/>
      <c r="Y28" s="317"/>
      <c r="Z28" s="317"/>
      <c r="AA28" s="317"/>
      <c r="AB28" s="317"/>
      <c r="AC28" s="317"/>
    </row>
    <row r="29" spans="2:29" ht="11" customHeight="1">
      <c r="B29" s="305"/>
      <c r="C29" s="305"/>
      <c r="D29" s="266"/>
      <c r="E29" s="36" t="str">
        <f>HLOOKUP(Input!$D$24,Launguage!$D$2:$K$160,50,FALSE)</f>
        <v>Kosten für Plakatgestaltung</v>
      </c>
      <c r="F29" s="37"/>
      <c r="G29" s="37"/>
      <c r="H29" s="38">
        <f>monthly!B9</f>
        <v>1000</v>
      </c>
      <c r="I29" s="37" t="str">
        <f>Input!$E$16</f>
        <v>€</v>
      </c>
      <c r="J29" s="51" t="s">
        <v>126</v>
      </c>
      <c r="K29" s="52" t="str">
        <f>Input!$E$16</f>
        <v>€</v>
      </c>
      <c r="L29" s="313"/>
      <c r="M29" s="313"/>
      <c r="N29" s="1"/>
      <c r="O29" s="313"/>
      <c r="P29" s="313"/>
      <c r="Q29" s="313"/>
      <c r="R29" s="313"/>
      <c r="S29" s="313"/>
      <c r="T29" s="313"/>
      <c r="U29" s="313"/>
      <c r="W29" s="317"/>
      <c r="X29" s="317"/>
      <c r="Y29" s="317"/>
      <c r="Z29" s="317"/>
      <c r="AA29" s="317"/>
      <c r="AB29" s="317"/>
      <c r="AC29" s="317"/>
    </row>
    <row r="30" spans="2:29" ht="11" customHeight="1">
      <c r="B30" s="305"/>
      <c r="C30" s="305"/>
      <c r="D30" s="267"/>
      <c r="E30" s="39" t="str">
        <f>HLOOKUP(Input!$D$24,Launguage!$D$2:$K$160,51,FALSE)</f>
        <v>Druck-Outsourcing</v>
      </c>
      <c r="F30" s="40"/>
      <c r="G30" s="40"/>
      <c r="H30" s="41">
        <f>monthly!B10</f>
        <v>700</v>
      </c>
      <c r="I30" s="40" t="str">
        <f>Input!$E$16</f>
        <v>€</v>
      </c>
      <c r="J30" s="42" t="s">
        <v>126</v>
      </c>
      <c r="K30" s="53" t="str">
        <f>Input!$E$16</f>
        <v>€</v>
      </c>
      <c r="L30" s="313"/>
      <c r="M30" s="313"/>
      <c r="N30" s="1"/>
      <c r="O30" s="313"/>
      <c r="P30" s="342"/>
      <c r="Q30" s="342"/>
      <c r="R30" s="313"/>
      <c r="S30" s="313"/>
      <c r="T30" s="313"/>
      <c r="U30" s="313"/>
      <c r="W30" s="317"/>
      <c r="X30" s="317"/>
      <c r="Y30" s="317"/>
      <c r="Z30" s="317"/>
      <c r="AA30" s="317"/>
      <c r="AB30" s="317"/>
      <c r="AC30" s="317"/>
    </row>
    <row r="31" spans="2:29" ht="11" customHeight="1">
      <c r="B31" s="305"/>
      <c r="C31" s="305"/>
      <c r="D31" s="109"/>
      <c r="E31" s="39" t="str">
        <f>HLOOKUP(Input!$D$24,Launguage!$D$2:$K$160,52,FALSE)</f>
        <v>Transport-/Frachtkosten</v>
      </c>
      <c r="F31" s="40"/>
      <c r="G31" s="40"/>
      <c r="H31" s="41">
        <f>monthly!B11</f>
        <v>50</v>
      </c>
      <c r="I31" s="40" t="str">
        <f>Input!$E$16</f>
        <v>€</v>
      </c>
      <c r="J31" s="42" t="s">
        <v>126</v>
      </c>
      <c r="K31" s="53" t="str">
        <f>Input!$E$16</f>
        <v>€</v>
      </c>
      <c r="L31" s="313"/>
      <c r="M31" s="313"/>
      <c r="N31" s="1"/>
      <c r="O31" s="313"/>
      <c r="P31" s="353" t="str">
        <f>Launguage!$C$50</f>
        <v>Neu</v>
      </c>
      <c r="Q31" s="353"/>
      <c r="R31" s="313"/>
      <c r="S31" s="313"/>
      <c r="T31" s="313"/>
      <c r="U31" s="313"/>
      <c r="W31" s="317"/>
      <c r="X31" s="317"/>
      <c r="Y31" s="317"/>
      <c r="Z31" s="317"/>
      <c r="AA31" s="317"/>
      <c r="AB31" s="317"/>
      <c r="AC31" s="317"/>
    </row>
    <row r="32" spans="2:29" ht="11" customHeight="1">
      <c r="B32" s="305"/>
      <c r="C32" s="305"/>
      <c r="D32" s="108"/>
      <c r="E32" s="39" t="str">
        <f>HLOOKUP(Input!$D$24,Launguage!$D$2:$K$160,53,FALSE)</f>
        <v>Leasing-Kosten</v>
      </c>
      <c r="F32" s="40"/>
      <c r="G32" s="40"/>
      <c r="H32" s="41">
        <f>monthly!B12</f>
        <v>0</v>
      </c>
      <c r="I32" s="40" t="str">
        <f>Input!$E$16</f>
        <v>€</v>
      </c>
      <c r="J32" s="42" t="s">
        <v>126</v>
      </c>
      <c r="K32" s="53" t="str">
        <f>Input!$E$16</f>
        <v>€</v>
      </c>
      <c r="L32" s="313"/>
      <c r="M32" s="313"/>
      <c r="N32" s="1"/>
      <c r="O32" s="313"/>
      <c r="P32" s="353"/>
      <c r="Q32" s="353"/>
      <c r="R32" s="313"/>
      <c r="S32" s="313"/>
      <c r="T32" s="313"/>
      <c r="U32" s="313"/>
      <c r="W32" s="317"/>
      <c r="X32" s="317"/>
      <c r="Y32" s="317"/>
      <c r="Z32" s="317"/>
      <c r="AA32" s="317"/>
      <c r="AB32" s="317"/>
      <c r="AC32" s="317"/>
    </row>
    <row r="33" spans="2:29" ht="11" customHeight="1">
      <c r="B33" s="305"/>
      <c r="C33" s="305"/>
      <c r="D33" s="269"/>
      <c r="E33" s="39" t="str">
        <f>HLOOKUP(Input!$D$24,Launguage!$D$2:$K$160,54,FALSE)</f>
        <v>Tinte</v>
      </c>
      <c r="F33" s="40"/>
      <c r="G33" s="40"/>
      <c r="H33" s="42" t="s">
        <v>126</v>
      </c>
      <c r="I33" s="40" t="str">
        <f>Input!$E$16</f>
        <v>€</v>
      </c>
      <c r="J33" s="42">
        <f>monthly!C13</f>
        <v>280.93464490325374</v>
      </c>
      <c r="K33" s="53" t="str">
        <f>Input!$E$16</f>
        <v>€</v>
      </c>
      <c r="L33" s="313"/>
      <c r="M33" s="313"/>
      <c r="N33" s="1"/>
      <c r="O33" s="313"/>
      <c r="P33" s="313"/>
      <c r="Q33" s="313"/>
      <c r="R33" s="313"/>
      <c r="S33" s="313"/>
      <c r="T33" s="313"/>
      <c r="U33" s="313"/>
      <c r="W33" s="317"/>
      <c r="X33" s="317"/>
      <c r="Y33" s="317"/>
      <c r="Z33" s="317"/>
      <c r="AA33" s="317"/>
      <c r="AB33" s="317"/>
      <c r="AC33" s="317"/>
    </row>
    <row r="34" spans="2:29" ht="11" customHeight="1">
      <c r="B34" s="305"/>
      <c r="C34" s="305"/>
      <c r="D34" s="43"/>
      <c r="E34" s="39" t="str">
        <f>HLOOKUP(Input!$D$24,Launguage!$D$2:$K$160,55,FALSE)</f>
        <v>Druckkopf</v>
      </c>
      <c r="F34" s="40"/>
      <c r="G34" s="40"/>
      <c r="H34" s="42" t="s">
        <v>126</v>
      </c>
      <c r="I34" s="40" t="str">
        <f>Input!$E$16</f>
        <v>€</v>
      </c>
      <c r="J34" s="42">
        <f>monthly!C14</f>
        <v>11.385246135552915</v>
      </c>
      <c r="K34" s="53" t="str">
        <f>Input!$E$16</f>
        <v>€</v>
      </c>
      <c r="L34" s="313"/>
      <c r="M34" s="313"/>
      <c r="N34" s="1"/>
      <c r="O34" s="313"/>
      <c r="P34" s="313"/>
      <c r="Q34" s="313"/>
      <c r="R34" s="313"/>
      <c r="S34" s="313"/>
      <c r="T34" s="313"/>
      <c r="U34" s="313"/>
      <c r="W34" s="317"/>
      <c r="X34" s="317"/>
      <c r="Y34" s="317"/>
      <c r="Z34" s="317"/>
      <c r="AA34" s="317"/>
      <c r="AB34" s="317"/>
      <c r="AC34" s="317"/>
    </row>
    <row r="35" spans="2:29" ht="11" customHeight="1">
      <c r="B35" s="305"/>
      <c r="C35" s="305"/>
      <c r="D35" s="268"/>
      <c r="E35" s="39" t="str">
        <f>HLOOKUP(Input!$D$24,Launguage!$D$2:$K$160,56,FALSE)</f>
        <v>Medien</v>
      </c>
      <c r="F35" s="40"/>
      <c r="G35" s="40"/>
      <c r="H35" s="42" t="s">
        <v>126</v>
      </c>
      <c r="I35" s="40" t="str">
        <f>Input!$E$16</f>
        <v>€</v>
      </c>
      <c r="J35" s="42">
        <f>monthly!C15</f>
        <v>107.9132822213013</v>
      </c>
      <c r="K35" s="53" t="str">
        <f>Input!$E$16</f>
        <v>€</v>
      </c>
      <c r="L35" s="313"/>
      <c r="M35" s="313"/>
      <c r="N35" s="1"/>
      <c r="O35" s="313"/>
      <c r="P35" s="313"/>
      <c r="Q35" s="313"/>
      <c r="R35" s="313"/>
      <c r="S35" s="313"/>
      <c r="T35" s="313"/>
      <c r="U35" s="313"/>
      <c r="W35" s="317"/>
      <c r="X35" s="317"/>
      <c r="Y35" s="317"/>
      <c r="Z35" s="317"/>
      <c r="AA35" s="317"/>
      <c r="AB35" s="317"/>
      <c r="AC35" s="317"/>
    </row>
    <row r="36" spans="2:29" ht="11" customHeight="1">
      <c r="B36" s="305"/>
      <c r="C36" s="305"/>
      <c r="D36" s="44"/>
      <c r="E36" s="39" t="str">
        <f>HLOOKUP(Input!$D$24,Launguage!$D$2:$K$160,57,FALSE)</f>
        <v>Wartungseinschub</v>
      </c>
      <c r="F36" s="40"/>
      <c r="G36" s="40"/>
      <c r="H36" s="42" t="s">
        <v>126</v>
      </c>
      <c r="I36" s="40" t="str">
        <f>Input!$E$16</f>
        <v>€</v>
      </c>
      <c r="J36" s="42">
        <f>monthly!C16</f>
        <v>0.88929845422116538</v>
      </c>
      <c r="K36" s="53" t="str">
        <f>Input!$E$16</f>
        <v>€</v>
      </c>
      <c r="L36" s="313"/>
      <c r="M36" s="313"/>
      <c r="N36" s="1"/>
      <c r="O36" s="313"/>
      <c r="P36" s="313"/>
      <c r="Q36" s="313"/>
      <c r="R36" s="313"/>
      <c r="S36" s="313"/>
      <c r="T36" s="313"/>
      <c r="U36" s="313"/>
      <c r="W36" s="317"/>
      <c r="X36" s="317"/>
      <c r="Y36" s="317"/>
      <c r="Z36" s="317"/>
      <c r="AA36" s="317"/>
      <c r="AB36" s="317"/>
      <c r="AC36" s="317"/>
    </row>
    <row r="37" spans="2:29" ht="11" customHeight="1">
      <c r="B37" s="305"/>
      <c r="C37" s="305"/>
      <c r="D37" s="45"/>
      <c r="E37" s="39" t="str">
        <f>HLOOKUP(Input!$D$24,Launguage!$D$2:$K$160,58,FALSE)</f>
        <v>Service</v>
      </c>
      <c r="F37" s="40"/>
      <c r="G37" s="40"/>
      <c r="H37" s="42" t="s">
        <v>126</v>
      </c>
      <c r="I37" s="40" t="str">
        <f>Input!$E$16</f>
        <v>€</v>
      </c>
      <c r="J37" s="42">
        <f>monthly!C17</f>
        <v>12.777777777777779</v>
      </c>
      <c r="K37" s="53" t="str">
        <f>Input!$E$16</f>
        <v>€</v>
      </c>
      <c r="L37" s="313"/>
      <c r="M37" s="313"/>
      <c r="N37" s="1"/>
      <c r="O37" s="313"/>
      <c r="P37" s="313"/>
      <c r="Q37" s="313"/>
      <c r="R37" s="313"/>
      <c r="S37" s="313"/>
      <c r="T37" s="313"/>
      <c r="U37" s="313"/>
      <c r="W37" s="317"/>
      <c r="X37" s="317"/>
      <c r="Y37" s="317"/>
      <c r="Z37" s="317"/>
      <c r="AA37" s="317"/>
      <c r="AB37" s="317"/>
      <c r="AC37" s="317"/>
    </row>
    <row r="38" spans="2:29" ht="11" customHeight="1">
      <c r="B38" s="305"/>
      <c r="C38" s="305"/>
      <c r="D38" s="46"/>
      <c r="E38" s="39" t="str">
        <f>HLOOKUP(Input!$D$24,Launguage!$D$2:$K$160,59,FALSE)</f>
        <v>Arbeitskosten für Druck</v>
      </c>
      <c r="F38" s="40"/>
      <c r="G38" s="40"/>
      <c r="H38" s="42" t="s">
        <v>126</v>
      </c>
      <c r="I38" s="40" t="str">
        <f>Input!$E$16</f>
        <v>€</v>
      </c>
      <c r="J38" s="42">
        <f>monthly!C18</f>
        <v>44.114149821640908</v>
      </c>
      <c r="K38" s="53" t="str">
        <f>Input!$E$16</f>
        <v>€</v>
      </c>
      <c r="L38" s="313"/>
      <c r="M38" s="313"/>
      <c r="N38" s="1"/>
      <c r="O38" s="313"/>
      <c r="P38" s="313"/>
      <c r="Q38" s="313"/>
      <c r="R38" s="313"/>
      <c r="S38" s="313"/>
      <c r="T38" s="313"/>
      <c r="U38" s="313"/>
      <c r="W38" s="317"/>
      <c r="X38" s="317"/>
      <c r="Y38" s="317"/>
      <c r="Z38" s="317"/>
      <c r="AA38" s="317"/>
      <c r="AB38" s="317"/>
      <c r="AC38" s="317"/>
    </row>
    <row r="39" spans="2:29" ht="11" customHeight="1">
      <c r="B39" s="305"/>
      <c r="C39" s="305"/>
      <c r="D39" s="47"/>
      <c r="E39" s="48" t="str">
        <f>HLOOKUP(Input!$D$24,Launguage!$D$2:$K$160,60,FALSE)</f>
        <v>Stromkosten</v>
      </c>
      <c r="F39" s="49"/>
      <c r="G39" s="49"/>
      <c r="H39" s="50" t="s">
        <v>126</v>
      </c>
      <c r="I39" s="49" t="str">
        <f>Input!$E$16</f>
        <v>€</v>
      </c>
      <c r="J39" s="50">
        <f>monthly!C19</f>
        <v>2.2939357907253276E-2</v>
      </c>
      <c r="K39" s="54" t="str">
        <f>Input!$E$16</f>
        <v>€</v>
      </c>
      <c r="L39" s="313"/>
      <c r="M39" s="313"/>
      <c r="N39" s="1"/>
      <c r="O39" s="313"/>
      <c r="P39" s="313"/>
      <c r="Q39" s="313"/>
      <c r="R39" s="313"/>
      <c r="S39" s="313"/>
      <c r="T39" s="313"/>
      <c r="U39" s="313"/>
      <c r="W39" s="317"/>
      <c r="X39" s="317"/>
      <c r="Y39" s="317"/>
      <c r="Z39" s="317"/>
      <c r="AA39" s="317"/>
      <c r="AB39" s="317"/>
      <c r="AC39" s="317"/>
    </row>
    <row r="40" spans="2:29" ht="13.5" customHeight="1">
      <c r="B40" s="305"/>
      <c r="C40" s="313"/>
      <c r="D40" s="313"/>
      <c r="E40" s="313"/>
      <c r="F40" s="313"/>
      <c r="G40" s="313"/>
      <c r="H40" s="313"/>
      <c r="I40" s="313"/>
      <c r="J40" s="313"/>
      <c r="K40" s="313"/>
      <c r="L40" s="313"/>
      <c r="M40" s="313"/>
      <c r="N40" s="1"/>
      <c r="O40" s="313"/>
      <c r="P40" s="316"/>
      <c r="Q40" s="313"/>
      <c r="R40" s="313"/>
      <c r="S40" s="316"/>
      <c r="T40" s="313"/>
      <c r="U40" s="313"/>
      <c r="W40" s="317"/>
      <c r="X40" s="317"/>
      <c r="Y40" s="317"/>
      <c r="Z40" s="317"/>
      <c r="AA40" s="317"/>
      <c r="AB40" s="317"/>
      <c r="AC40" s="317"/>
    </row>
    <row r="41" spans="2:29" ht="3.5" customHeigh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2:29" ht="10" customHeight="1">
      <c r="J42" s="26"/>
    </row>
    <row r="43" spans="2:29">
      <c r="B43" s="305"/>
      <c r="C43" s="305"/>
      <c r="D43" s="305"/>
      <c r="E43" s="305"/>
      <c r="F43" s="307"/>
      <c r="G43" s="307"/>
      <c r="H43" s="305"/>
      <c r="I43" s="305"/>
      <c r="J43" s="321"/>
      <c r="K43" s="305"/>
      <c r="L43" s="305"/>
      <c r="M43" s="305"/>
      <c r="N43" s="305"/>
      <c r="O43" s="305"/>
      <c r="P43" s="305"/>
      <c r="Q43" s="313"/>
      <c r="R43" s="313"/>
      <c r="S43" s="313"/>
      <c r="T43" s="313"/>
      <c r="U43" s="313"/>
      <c r="V43" s="313"/>
      <c r="W43" s="313"/>
      <c r="X43" s="313"/>
      <c r="Y43" s="313"/>
      <c r="Z43" s="313"/>
      <c r="AA43" s="313"/>
      <c r="AB43" s="313"/>
      <c r="AC43" s="313"/>
    </row>
    <row r="44" spans="2:29" ht="21">
      <c r="B44" s="305"/>
      <c r="C44" s="305"/>
      <c r="D44" s="314" t="str">
        <f>HLOOKUP(Input!$D$24,Launguage!$D$2:$K$160,64,FALSE)</f>
        <v>Kapitalrendite</v>
      </c>
      <c r="E44" s="305"/>
      <c r="F44" s="307"/>
      <c r="G44" s="307"/>
      <c r="H44" s="305"/>
      <c r="I44" s="305"/>
      <c r="J44" s="321"/>
      <c r="K44" s="305"/>
      <c r="L44" s="305"/>
      <c r="M44" s="305"/>
      <c r="N44" s="305"/>
      <c r="O44" s="305"/>
      <c r="P44" s="305"/>
      <c r="Q44" s="313"/>
      <c r="R44" s="313"/>
      <c r="S44" s="313"/>
      <c r="T44" s="313"/>
      <c r="U44" s="313"/>
      <c r="V44" s="313"/>
      <c r="W44" s="313"/>
      <c r="X44" s="313"/>
      <c r="Y44" s="313"/>
      <c r="Z44" s="313"/>
      <c r="AA44" s="313"/>
      <c r="AB44" s="313"/>
      <c r="AC44" s="313"/>
    </row>
    <row r="45" spans="2:29" ht="16">
      <c r="B45" s="305"/>
      <c r="C45" s="305"/>
      <c r="D45" s="322" t="str">
        <f>Launguage!$C$66&amp;" "&amp;ROUNDUP(Input!$K$12/(monthly!$B$20-monthly!$C$20),0)&amp;" "&amp;Launguage!$C$67</f>
        <v>Beim angegebenen Druckvolumen amortisiert sich die Investition in das Canon-Produkt innerhalb von 1 Monaten</v>
      </c>
      <c r="E45" s="305"/>
      <c r="F45" s="322"/>
      <c r="G45" s="322"/>
      <c r="H45" s="322"/>
      <c r="I45" s="322"/>
      <c r="J45" s="322"/>
      <c r="K45" s="322"/>
      <c r="L45" s="322"/>
      <c r="M45" s="322"/>
      <c r="N45" s="322"/>
      <c r="O45" s="322"/>
      <c r="P45" s="322"/>
      <c r="Q45" s="322"/>
      <c r="R45" s="322"/>
      <c r="S45" s="323"/>
      <c r="T45" s="323"/>
      <c r="U45" s="313"/>
      <c r="V45" s="313"/>
      <c r="W45" s="313"/>
      <c r="X45" s="313"/>
      <c r="Y45" s="313"/>
      <c r="Z45" s="313"/>
      <c r="AA45" s="313"/>
      <c r="AB45" s="313"/>
      <c r="AC45" s="313"/>
    </row>
    <row r="46" spans="2:29">
      <c r="B46" s="305"/>
      <c r="C46" s="305"/>
      <c r="D46" s="305"/>
      <c r="E46" s="305"/>
      <c r="F46" s="307"/>
      <c r="G46" s="307"/>
      <c r="H46" s="305"/>
      <c r="I46" s="305"/>
      <c r="J46" s="305"/>
      <c r="K46" s="324" t="str">
        <f>Launguage!$C$68 &amp; Input!$K$11&amp;" "&amp;Launguage!$C$69 &amp;" "&amp; Input!$K$12 &amp; Input!$L$12</f>
        <v>*Investitionskosten für CanonTA-20 : 1000€</v>
      </c>
      <c r="L46" s="305"/>
      <c r="M46" s="305"/>
      <c r="N46" s="305"/>
      <c r="O46" s="305"/>
      <c r="P46" s="305"/>
      <c r="Q46" s="313"/>
      <c r="R46" s="313"/>
      <c r="S46" s="313"/>
      <c r="T46" s="313"/>
      <c r="U46" s="313"/>
      <c r="V46" s="313"/>
      <c r="W46" s="313"/>
      <c r="X46" s="313"/>
      <c r="Y46" s="313"/>
      <c r="Z46" s="313"/>
      <c r="AA46" s="313"/>
      <c r="AB46" s="313"/>
      <c r="AC46" s="313"/>
    </row>
    <row r="47" spans="2:29" ht="1.5" customHeight="1">
      <c r="B47" s="305"/>
      <c r="C47" s="305"/>
      <c r="D47" s="305"/>
      <c r="E47" s="305"/>
      <c r="F47" s="307"/>
      <c r="G47" s="307"/>
      <c r="H47" s="305"/>
      <c r="I47" s="305"/>
      <c r="J47" s="305"/>
      <c r="K47" s="305"/>
      <c r="L47" s="305"/>
      <c r="M47" s="305"/>
      <c r="N47" s="305"/>
      <c r="O47" s="305"/>
      <c r="P47" s="305"/>
      <c r="Q47" s="313"/>
      <c r="R47" s="313"/>
      <c r="S47" s="313"/>
      <c r="T47" s="313"/>
      <c r="U47" s="313"/>
      <c r="V47" s="313"/>
      <c r="W47" s="313"/>
      <c r="X47" s="313"/>
      <c r="Y47" s="313"/>
      <c r="Z47" s="313"/>
      <c r="AA47" s="313"/>
      <c r="AB47" s="313"/>
      <c r="AC47" s="313"/>
    </row>
    <row r="48" spans="2:29" ht="1.5" hidden="1" customHeight="1">
      <c r="B48" s="305"/>
      <c r="C48" s="305"/>
      <c r="D48" s="305"/>
      <c r="E48" s="305"/>
      <c r="F48" s="307"/>
      <c r="G48" s="307"/>
      <c r="H48" s="305"/>
      <c r="I48" s="305"/>
      <c r="J48" s="305"/>
      <c r="K48" s="305"/>
      <c r="L48" s="305"/>
      <c r="M48" s="305"/>
      <c r="N48" s="305"/>
      <c r="O48" s="305"/>
      <c r="P48" s="305"/>
      <c r="Q48" s="313"/>
      <c r="R48" s="313"/>
      <c r="S48" s="313"/>
      <c r="T48" s="313"/>
      <c r="U48" s="313"/>
      <c r="V48" s="313"/>
      <c r="W48" s="313"/>
      <c r="X48" s="313"/>
      <c r="Y48" s="313"/>
      <c r="Z48" s="313"/>
      <c r="AA48" s="313"/>
      <c r="AB48" s="313"/>
      <c r="AC48" s="313"/>
    </row>
    <row r="49" spans="2:29" ht="18">
      <c r="B49" s="305"/>
      <c r="C49" s="305"/>
      <c r="D49" s="305"/>
      <c r="E49" s="305"/>
      <c r="F49" s="307"/>
      <c r="G49" s="307"/>
      <c r="H49" s="305"/>
      <c r="I49" s="305"/>
      <c r="J49" s="305"/>
      <c r="K49" s="305"/>
      <c r="L49" s="305"/>
      <c r="M49" s="305"/>
      <c r="N49" s="305"/>
      <c r="O49" s="305"/>
      <c r="P49" s="305"/>
      <c r="Q49" s="313"/>
      <c r="R49" s="313"/>
      <c r="S49" s="313"/>
      <c r="T49" s="325" t="str">
        <f>Launguage!$C$42&amp;" "&amp; TEXT(monthly!$M$5,"#.##0") &amp;" " &amp;Input!$E$16&amp;" "&amp;Launguage!$C$70</f>
        <v>Im ersten Jahr können Sie 13.212 € sparen.</v>
      </c>
      <c r="U49" s="313"/>
      <c r="V49" s="313"/>
      <c r="W49" s="313"/>
      <c r="X49" s="313"/>
      <c r="Y49" s="313"/>
      <c r="Z49" s="313"/>
      <c r="AA49" s="313"/>
      <c r="AB49" s="313"/>
      <c r="AC49" s="313"/>
    </row>
    <row r="50" spans="2:29">
      <c r="B50" s="305"/>
      <c r="C50" s="305"/>
      <c r="D50" s="305"/>
      <c r="E50" s="305"/>
      <c r="F50" s="307"/>
      <c r="G50" s="307"/>
      <c r="H50" s="305"/>
      <c r="I50" s="305"/>
      <c r="J50" s="305"/>
      <c r="K50" s="305"/>
      <c r="L50" s="305"/>
      <c r="M50" s="305"/>
      <c r="N50" s="305"/>
      <c r="O50" s="305"/>
      <c r="P50" s="305"/>
      <c r="Q50" s="313"/>
      <c r="R50" s="313"/>
      <c r="S50" s="313"/>
      <c r="T50" s="313"/>
      <c r="U50" s="313"/>
      <c r="V50" s="313"/>
      <c r="W50" s="313"/>
      <c r="X50" s="313"/>
      <c r="Y50" s="313"/>
      <c r="Z50" s="313"/>
      <c r="AA50" s="313"/>
      <c r="AB50" s="313"/>
      <c r="AC50" s="313"/>
    </row>
    <row r="51" spans="2:29">
      <c r="B51" s="305"/>
      <c r="C51" s="305"/>
      <c r="D51" s="305"/>
      <c r="E51" s="305"/>
      <c r="F51" s="307"/>
      <c r="G51" s="307"/>
      <c r="H51" s="305"/>
      <c r="I51" s="305"/>
      <c r="J51" s="305"/>
      <c r="K51" s="305"/>
      <c r="L51" s="305"/>
      <c r="M51" s="305"/>
      <c r="N51" s="305"/>
      <c r="O51" s="305"/>
      <c r="P51" s="305"/>
      <c r="Q51" s="313"/>
      <c r="R51" s="313"/>
      <c r="S51" s="313"/>
      <c r="T51" s="313"/>
      <c r="U51" s="313"/>
      <c r="V51" s="313"/>
      <c r="W51" s="313"/>
      <c r="X51" s="313"/>
      <c r="Y51" s="313"/>
      <c r="Z51" s="313"/>
      <c r="AA51" s="313"/>
      <c r="AB51" s="313"/>
      <c r="AC51" s="313"/>
    </row>
    <row r="52" spans="2:29">
      <c r="B52" s="305"/>
      <c r="C52" s="305"/>
      <c r="D52" s="305"/>
      <c r="E52" s="305"/>
      <c r="F52" s="307"/>
      <c r="G52" s="307"/>
      <c r="H52" s="305"/>
      <c r="I52" s="305"/>
      <c r="J52" s="305"/>
      <c r="K52" s="305"/>
      <c r="L52" s="305"/>
      <c r="M52" s="305"/>
      <c r="N52" s="305"/>
      <c r="O52" s="305"/>
      <c r="P52" s="305"/>
      <c r="Q52" s="313"/>
      <c r="R52" s="313"/>
      <c r="S52" s="313"/>
      <c r="T52" s="313"/>
      <c r="U52" s="313"/>
      <c r="V52" s="313"/>
      <c r="W52" s="313"/>
      <c r="X52" s="313"/>
      <c r="Y52" s="313"/>
      <c r="Z52" s="313"/>
      <c r="AA52" s="313"/>
      <c r="AB52" s="313"/>
      <c r="AC52" s="313"/>
    </row>
    <row r="53" spans="2:29">
      <c r="B53" s="305"/>
      <c r="C53" s="305"/>
      <c r="D53" s="305"/>
      <c r="E53" s="305"/>
      <c r="F53" s="307"/>
      <c r="G53" s="307"/>
      <c r="H53" s="305"/>
      <c r="I53" s="305"/>
      <c r="J53" s="305"/>
      <c r="K53" s="305"/>
      <c r="L53" s="305"/>
      <c r="M53" s="305"/>
      <c r="N53" s="305"/>
      <c r="O53" s="305"/>
      <c r="P53" s="305"/>
      <c r="Q53" s="313"/>
      <c r="R53" s="313"/>
      <c r="S53" s="313"/>
      <c r="T53" s="313"/>
      <c r="U53" s="313"/>
      <c r="V53" s="313"/>
      <c r="W53" s="313"/>
      <c r="X53" s="313"/>
      <c r="Y53" s="313"/>
      <c r="Z53" s="313"/>
      <c r="AA53" s="313"/>
      <c r="AB53" s="313"/>
      <c r="AC53" s="313"/>
    </row>
    <row r="54" spans="2:29">
      <c r="B54" s="305"/>
      <c r="C54" s="305"/>
      <c r="D54" s="305"/>
      <c r="E54" s="305"/>
      <c r="F54" s="307"/>
      <c r="G54" s="307"/>
      <c r="H54" s="305"/>
      <c r="I54" s="305"/>
      <c r="J54" s="305"/>
      <c r="K54" s="305"/>
      <c r="L54" s="305"/>
      <c r="M54" s="305"/>
      <c r="N54" s="305"/>
      <c r="O54" s="305"/>
      <c r="P54" s="305"/>
      <c r="Q54" s="313"/>
      <c r="R54" s="313"/>
      <c r="S54" s="313"/>
      <c r="T54" s="313"/>
      <c r="U54" s="313"/>
      <c r="V54" s="313"/>
      <c r="W54" s="313"/>
      <c r="X54" s="313"/>
      <c r="Y54" s="313"/>
      <c r="Z54" s="313"/>
      <c r="AA54" s="313"/>
      <c r="AB54" s="313"/>
      <c r="AC54" s="313"/>
    </row>
    <row r="55" spans="2:29">
      <c r="B55" s="305"/>
      <c r="C55" s="305"/>
      <c r="D55" s="305"/>
      <c r="E55" s="305"/>
      <c r="F55" s="307"/>
      <c r="G55" s="307"/>
      <c r="H55" s="305"/>
      <c r="I55" s="305"/>
      <c r="J55" s="305"/>
      <c r="K55" s="305"/>
      <c r="L55" s="305"/>
      <c r="M55" s="305"/>
      <c r="N55" s="305"/>
      <c r="O55" s="305"/>
      <c r="P55" s="305"/>
      <c r="Q55" s="313"/>
      <c r="R55" s="313"/>
      <c r="S55" s="313"/>
      <c r="T55" s="313"/>
      <c r="U55" s="313"/>
      <c r="V55" s="313"/>
      <c r="W55" s="313"/>
      <c r="X55" s="313"/>
      <c r="Y55" s="313"/>
      <c r="Z55" s="313"/>
      <c r="AA55" s="313"/>
      <c r="AB55" s="313"/>
      <c r="AC55" s="313"/>
    </row>
    <row r="56" spans="2:29">
      <c r="B56" s="305"/>
      <c r="C56" s="305"/>
      <c r="D56" s="305"/>
      <c r="E56" s="305"/>
      <c r="F56" s="307"/>
      <c r="G56" s="307"/>
      <c r="H56" s="305"/>
      <c r="I56" s="305"/>
      <c r="J56" s="305"/>
      <c r="K56" s="305"/>
      <c r="L56" s="305"/>
      <c r="M56" s="305"/>
      <c r="N56" s="305"/>
      <c r="O56" s="305"/>
      <c r="P56" s="305"/>
      <c r="Q56" s="313"/>
      <c r="R56" s="313"/>
      <c r="S56" s="313"/>
      <c r="T56" s="313"/>
      <c r="U56" s="313"/>
      <c r="V56" s="313"/>
      <c r="W56" s="313"/>
      <c r="X56" s="313"/>
      <c r="Y56" s="313"/>
      <c r="Z56" s="313"/>
      <c r="AA56" s="313"/>
      <c r="AB56" s="313"/>
      <c r="AC56" s="313"/>
    </row>
    <row r="57" spans="2:29">
      <c r="B57" s="305"/>
      <c r="C57" s="305"/>
      <c r="D57" s="305"/>
      <c r="E57" s="305"/>
      <c r="F57" s="307"/>
      <c r="G57" s="307"/>
      <c r="H57" s="305"/>
      <c r="I57" s="305"/>
      <c r="J57" s="305"/>
      <c r="K57" s="305"/>
      <c r="L57" s="305"/>
      <c r="M57" s="305"/>
      <c r="N57" s="305"/>
      <c r="O57" s="305"/>
      <c r="P57" s="305"/>
      <c r="Q57" s="313"/>
      <c r="R57" s="313"/>
      <c r="S57" s="313"/>
      <c r="T57" s="313"/>
      <c r="U57" s="313"/>
      <c r="V57" s="313"/>
      <c r="W57" s="313"/>
      <c r="X57" s="313"/>
      <c r="Y57" s="313"/>
      <c r="Z57" s="313"/>
      <c r="AA57" s="313"/>
      <c r="AB57" s="313"/>
      <c r="AC57" s="313"/>
    </row>
    <row r="58" spans="2:29">
      <c r="B58" s="305"/>
      <c r="C58" s="305"/>
      <c r="D58" s="305"/>
      <c r="E58" s="305"/>
      <c r="F58" s="307"/>
      <c r="G58" s="307"/>
      <c r="H58" s="305"/>
      <c r="I58" s="305"/>
      <c r="J58" s="305"/>
      <c r="K58" s="305"/>
      <c r="L58" s="305"/>
      <c r="M58" s="305"/>
      <c r="N58" s="305"/>
      <c r="O58" s="305"/>
      <c r="P58" s="305"/>
      <c r="Q58" s="313"/>
      <c r="R58" s="313"/>
      <c r="S58" s="313"/>
      <c r="T58" s="313"/>
      <c r="U58" s="313"/>
      <c r="V58" s="313"/>
      <c r="W58" s="313"/>
      <c r="X58" s="313"/>
      <c r="Y58" s="313"/>
      <c r="Z58" s="313"/>
      <c r="AA58" s="313"/>
      <c r="AB58" s="313"/>
      <c r="AC58" s="313"/>
    </row>
    <row r="59" spans="2:29">
      <c r="B59" s="305"/>
      <c r="C59" s="305"/>
      <c r="D59" s="305"/>
      <c r="E59" s="305"/>
      <c r="F59" s="307"/>
      <c r="G59" s="307"/>
      <c r="H59" s="305"/>
      <c r="I59" s="305"/>
      <c r="J59" s="305"/>
      <c r="K59" s="305"/>
      <c r="L59" s="305"/>
      <c r="M59" s="305"/>
      <c r="N59" s="305"/>
      <c r="O59" s="305"/>
      <c r="P59" s="305"/>
      <c r="Q59" s="313"/>
      <c r="R59" s="313"/>
      <c r="S59" s="313"/>
      <c r="T59" s="313"/>
      <c r="U59" s="313"/>
      <c r="V59" s="313"/>
      <c r="W59" s="313"/>
      <c r="X59" s="313"/>
      <c r="Y59" s="313"/>
      <c r="Z59" s="313"/>
      <c r="AA59" s="313"/>
      <c r="AB59" s="313"/>
      <c r="AC59" s="313"/>
    </row>
    <row r="60" spans="2:29">
      <c r="B60" s="305"/>
      <c r="C60" s="305"/>
      <c r="D60" s="305"/>
      <c r="E60" s="305"/>
      <c r="F60" s="307"/>
      <c r="G60" s="307"/>
      <c r="H60" s="305"/>
      <c r="I60" s="305"/>
      <c r="J60" s="305"/>
      <c r="K60" s="305"/>
      <c r="L60" s="305"/>
      <c r="M60" s="305"/>
      <c r="N60" s="305"/>
      <c r="O60" s="305"/>
      <c r="P60" s="305"/>
      <c r="Q60" s="313"/>
      <c r="R60" s="313"/>
      <c r="S60" s="313"/>
      <c r="T60" s="313"/>
      <c r="U60" s="313"/>
      <c r="V60" s="313"/>
      <c r="W60" s="313"/>
      <c r="X60" s="313"/>
      <c r="Y60" s="313"/>
      <c r="Z60" s="313"/>
      <c r="AA60" s="313"/>
      <c r="AB60" s="313"/>
      <c r="AC60" s="313"/>
    </row>
    <row r="61" spans="2:29">
      <c r="B61" s="305"/>
      <c r="C61" s="305"/>
      <c r="D61" s="305"/>
      <c r="E61" s="305"/>
      <c r="F61" s="307"/>
      <c r="G61" s="307"/>
      <c r="H61" s="305"/>
      <c r="I61" s="305"/>
      <c r="J61" s="305"/>
      <c r="K61" s="305"/>
      <c r="L61" s="305"/>
      <c r="M61" s="305"/>
      <c r="N61" s="305"/>
      <c r="O61" s="305"/>
      <c r="P61" s="305"/>
      <c r="Q61" s="313"/>
      <c r="R61" s="313"/>
      <c r="S61" s="313"/>
      <c r="T61" s="313"/>
      <c r="U61" s="313"/>
      <c r="V61" s="313"/>
      <c r="W61" s="313"/>
      <c r="X61" s="313"/>
      <c r="Y61" s="313"/>
      <c r="Z61" s="313"/>
      <c r="AA61" s="313"/>
      <c r="AB61" s="313"/>
      <c r="AC61" s="313"/>
    </row>
    <row r="62" spans="2:29">
      <c r="B62" s="305"/>
      <c r="C62" s="305"/>
      <c r="D62" s="305"/>
      <c r="E62" s="305"/>
      <c r="F62" s="307"/>
      <c r="G62" s="307"/>
      <c r="H62" s="305"/>
      <c r="I62" s="305"/>
      <c r="J62" s="305"/>
      <c r="K62" s="305"/>
      <c r="L62" s="305"/>
      <c r="M62" s="305"/>
      <c r="N62" s="305"/>
      <c r="O62" s="305"/>
      <c r="P62" s="305"/>
      <c r="Q62" s="313"/>
      <c r="R62" s="313"/>
      <c r="S62" s="313"/>
      <c r="T62" s="313"/>
      <c r="U62" s="313"/>
      <c r="V62" s="313"/>
      <c r="W62" s="313"/>
      <c r="X62" s="313"/>
      <c r="Y62" s="313"/>
      <c r="Z62" s="313"/>
      <c r="AA62" s="313"/>
      <c r="AB62" s="313"/>
      <c r="AC62" s="313"/>
    </row>
    <row r="63" spans="2:29">
      <c r="B63" s="305"/>
      <c r="C63" s="305"/>
      <c r="D63" s="305"/>
      <c r="E63" s="305"/>
      <c r="F63" s="307"/>
      <c r="G63" s="307"/>
      <c r="H63" s="305"/>
      <c r="I63" s="305"/>
      <c r="J63" s="305"/>
      <c r="K63" s="305"/>
      <c r="L63" s="305"/>
      <c r="M63" s="305"/>
      <c r="N63" s="305"/>
      <c r="O63" s="305"/>
      <c r="P63" s="305"/>
      <c r="Q63" s="313"/>
      <c r="R63" s="313"/>
      <c r="S63" s="313"/>
      <c r="T63" s="313"/>
      <c r="U63" s="313"/>
      <c r="V63" s="313"/>
      <c r="W63" s="313"/>
      <c r="X63" s="313"/>
      <c r="Y63" s="313"/>
      <c r="Z63" s="313"/>
      <c r="AA63" s="313"/>
      <c r="AB63" s="313"/>
      <c r="AC63" s="313"/>
    </row>
    <row r="64" spans="2:29">
      <c r="B64" s="305"/>
      <c r="C64" s="305"/>
      <c r="D64" s="305"/>
      <c r="E64" s="305"/>
      <c r="F64" s="307"/>
      <c r="G64" s="307"/>
      <c r="H64" s="305"/>
      <c r="I64" s="305"/>
      <c r="J64" s="305"/>
      <c r="K64" s="305"/>
      <c r="L64" s="305"/>
      <c r="M64" s="305"/>
      <c r="N64" s="305"/>
      <c r="O64" s="305"/>
      <c r="P64" s="305"/>
      <c r="Q64" s="313"/>
      <c r="R64" s="313"/>
      <c r="S64" s="313"/>
      <c r="T64" s="313"/>
      <c r="U64" s="313"/>
      <c r="V64" s="313"/>
      <c r="W64" s="313"/>
      <c r="X64" s="313"/>
      <c r="Y64" s="313"/>
      <c r="Z64" s="313"/>
      <c r="AA64" s="313"/>
      <c r="AB64" s="313"/>
      <c r="AC64" s="313"/>
    </row>
    <row r="65" spans="2:29">
      <c r="B65" s="305"/>
      <c r="C65" s="305"/>
      <c r="D65" s="305"/>
      <c r="E65" s="305"/>
      <c r="F65" s="307"/>
      <c r="G65" s="307"/>
      <c r="H65" s="305"/>
      <c r="I65" s="305"/>
      <c r="J65" s="305"/>
      <c r="K65" s="305"/>
      <c r="L65" s="305"/>
      <c r="M65" s="305"/>
      <c r="N65" s="305"/>
      <c r="O65" s="305"/>
      <c r="P65" s="305"/>
      <c r="Q65" s="313"/>
      <c r="R65" s="313"/>
      <c r="S65" s="313"/>
      <c r="T65" s="313"/>
      <c r="U65" s="313"/>
      <c r="V65" s="313"/>
      <c r="W65" s="313"/>
      <c r="X65" s="313"/>
      <c r="Y65" s="313"/>
      <c r="Z65" s="313"/>
      <c r="AA65" s="313"/>
      <c r="AB65" s="313"/>
      <c r="AC65" s="313"/>
    </row>
    <row r="66" spans="2:29">
      <c r="B66" s="305"/>
      <c r="C66" s="305"/>
      <c r="D66" s="305"/>
      <c r="E66" s="305"/>
      <c r="F66" s="307"/>
      <c r="G66" s="307"/>
      <c r="H66" s="305"/>
      <c r="I66" s="305"/>
      <c r="J66" s="305"/>
      <c r="K66" s="305"/>
      <c r="L66" s="305"/>
      <c r="M66" s="305"/>
      <c r="N66" s="305"/>
      <c r="O66" s="305"/>
      <c r="P66" s="305"/>
      <c r="Q66" s="313"/>
      <c r="R66" s="313"/>
      <c r="S66" s="313"/>
      <c r="T66" s="313"/>
      <c r="U66" s="313"/>
      <c r="V66" s="313"/>
      <c r="W66" s="313"/>
      <c r="X66" s="313"/>
      <c r="Y66" s="313"/>
      <c r="Z66" s="313"/>
      <c r="AA66" s="313"/>
      <c r="AB66" s="313"/>
      <c r="AC66" s="313"/>
    </row>
    <row r="67" spans="2:29">
      <c r="B67" s="305"/>
      <c r="C67" s="305"/>
      <c r="D67" s="305"/>
      <c r="E67" s="305"/>
      <c r="F67" s="307"/>
      <c r="G67" s="307"/>
      <c r="H67" s="305"/>
      <c r="I67" s="305"/>
      <c r="J67" s="305"/>
      <c r="K67" s="305"/>
      <c r="L67" s="305"/>
      <c r="M67" s="305"/>
      <c r="N67" s="305"/>
      <c r="O67" s="305"/>
      <c r="P67" s="305"/>
      <c r="Q67" s="313"/>
      <c r="R67" s="313"/>
      <c r="S67" s="313"/>
      <c r="T67" s="313"/>
      <c r="U67" s="313"/>
      <c r="V67" s="313"/>
      <c r="W67" s="313"/>
      <c r="X67" s="313"/>
      <c r="Y67" s="313"/>
      <c r="Z67" s="313"/>
      <c r="AA67" s="313"/>
      <c r="AB67" s="313"/>
      <c r="AC67" s="313"/>
    </row>
    <row r="68" spans="2:29">
      <c r="B68" s="305"/>
      <c r="C68" s="305"/>
      <c r="D68" s="305"/>
      <c r="E68" s="305"/>
      <c r="F68" s="307"/>
      <c r="G68" s="307"/>
      <c r="H68" s="305"/>
      <c r="I68" s="305"/>
      <c r="J68" s="305"/>
      <c r="K68" s="305"/>
      <c r="L68" s="305"/>
      <c r="M68" s="305"/>
      <c r="N68" s="305"/>
      <c r="O68" s="305"/>
      <c r="P68" s="305"/>
      <c r="Q68" s="313"/>
      <c r="R68" s="313"/>
      <c r="S68" s="313"/>
      <c r="T68" s="313"/>
      <c r="U68" s="313"/>
      <c r="V68" s="313"/>
      <c r="W68" s="313"/>
      <c r="X68" s="313"/>
      <c r="Y68" s="313"/>
      <c r="Z68" s="313"/>
      <c r="AA68" s="313"/>
      <c r="AB68" s="313"/>
      <c r="AC68" s="313"/>
    </row>
    <row r="69" spans="2:29">
      <c r="B69" s="305"/>
      <c r="C69" s="305"/>
      <c r="D69" s="305"/>
      <c r="E69" s="305"/>
      <c r="F69" s="307"/>
      <c r="G69" s="307"/>
      <c r="H69" s="305"/>
      <c r="I69" s="305"/>
      <c r="J69" s="305"/>
      <c r="K69" s="305"/>
      <c r="L69" s="305"/>
      <c r="M69" s="305"/>
      <c r="N69" s="305"/>
      <c r="O69" s="305"/>
      <c r="P69" s="305"/>
      <c r="Q69" s="313"/>
      <c r="R69" s="313"/>
      <c r="S69" s="313"/>
      <c r="T69" s="313"/>
      <c r="U69" s="313"/>
      <c r="V69" s="313"/>
      <c r="W69" s="313"/>
      <c r="X69" s="313"/>
      <c r="Y69" s="313"/>
      <c r="Z69" s="313"/>
      <c r="AA69" s="313"/>
      <c r="AB69" s="313"/>
      <c r="AC69" s="313"/>
    </row>
    <row r="70" spans="2:29" ht="16">
      <c r="B70" s="305"/>
      <c r="C70" s="305"/>
      <c r="D70" s="305"/>
      <c r="E70" s="305"/>
      <c r="F70" s="326"/>
      <c r="G70" s="326"/>
      <c r="H70" s="327"/>
      <c r="I70" s="305"/>
      <c r="J70" s="305"/>
      <c r="K70" s="305"/>
      <c r="L70" s="305"/>
      <c r="M70" s="305"/>
      <c r="N70" s="305"/>
      <c r="O70" s="305"/>
      <c r="P70" s="305"/>
      <c r="Q70" s="313"/>
      <c r="R70" s="313"/>
      <c r="S70" s="313"/>
      <c r="T70" s="313"/>
      <c r="U70" s="313"/>
      <c r="V70" s="313"/>
      <c r="W70" s="313"/>
      <c r="X70" s="313"/>
      <c r="Y70" s="313"/>
      <c r="Z70" s="313"/>
      <c r="AA70" s="313"/>
      <c r="AB70" s="313"/>
      <c r="AC70" s="313"/>
    </row>
    <row r="71" spans="2:29">
      <c r="B71" s="305"/>
      <c r="C71" s="305"/>
      <c r="D71" s="305"/>
      <c r="E71" s="305"/>
      <c r="F71" s="307"/>
      <c r="G71" s="307"/>
      <c r="H71" s="305"/>
      <c r="I71" s="305"/>
      <c r="J71" s="305"/>
      <c r="K71" s="305"/>
      <c r="L71" s="305"/>
      <c r="M71" s="305"/>
      <c r="N71" s="305"/>
      <c r="O71" s="305"/>
      <c r="P71" s="305"/>
      <c r="Q71" s="313"/>
      <c r="R71" s="313"/>
      <c r="S71" s="313"/>
      <c r="T71" s="313"/>
      <c r="U71" s="313"/>
      <c r="V71" s="313"/>
      <c r="W71" s="313"/>
      <c r="X71" s="313"/>
      <c r="Y71" s="313"/>
      <c r="Z71" s="313"/>
      <c r="AA71" s="313"/>
      <c r="AB71" s="313"/>
      <c r="AC71" s="313"/>
    </row>
    <row r="72" spans="2:29">
      <c r="B72" s="305"/>
      <c r="C72" s="305"/>
      <c r="D72" s="305"/>
      <c r="E72" s="305"/>
      <c r="F72" s="307"/>
      <c r="G72" s="307"/>
      <c r="H72" s="305"/>
      <c r="I72" s="305"/>
      <c r="J72" s="305"/>
      <c r="K72" s="305"/>
      <c r="L72" s="305"/>
      <c r="M72" s="305"/>
      <c r="N72" s="305"/>
      <c r="O72" s="305"/>
      <c r="P72" s="305"/>
      <c r="Q72" s="313"/>
      <c r="R72" s="313"/>
      <c r="S72" s="313"/>
      <c r="T72" s="313"/>
      <c r="U72" s="313"/>
      <c r="V72" s="313"/>
      <c r="W72" s="313"/>
      <c r="X72" s="313"/>
      <c r="Y72" s="313"/>
      <c r="Z72" s="313"/>
      <c r="AA72" s="313"/>
      <c r="AB72" s="313"/>
      <c r="AC72" s="313"/>
    </row>
    <row r="73" spans="2:29">
      <c r="B73" s="305"/>
      <c r="C73" s="305"/>
      <c r="D73" s="305"/>
      <c r="E73" s="305"/>
      <c r="F73" s="307"/>
      <c r="G73" s="307"/>
      <c r="H73" s="305"/>
      <c r="I73" s="305"/>
      <c r="J73" s="305"/>
      <c r="K73" s="305"/>
      <c r="L73" s="305"/>
      <c r="M73" s="305"/>
      <c r="N73" s="305"/>
      <c r="O73" s="305"/>
      <c r="P73" s="305"/>
      <c r="Q73" s="313"/>
      <c r="R73" s="313"/>
      <c r="S73" s="313"/>
      <c r="T73" s="313"/>
      <c r="U73" s="313"/>
      <c r="V73" s="313"/>
      <c r="W73" s="313"/>
      <c r="X73" s="313"/>
      <c r="Y73" s="313"/>
      <c r="Z73" s="313"/>
      <c r="AA73" s="313"/>
      <c r="AB73" s="313"/>
      <c r="AC73" s="313"/>
    </row>
    <row r="74" spans="2:29">
      <c r="B74" s="305"/>
      <c r="C74" s="305"/>
      <c r="D74" s="305"/>
      <c r="E74" s="305"/>
      <c r="F74" s="307"/>
      <c r="G74" s="307"/>
      <c r="H74" s="305"/>
      <c r="I74" s="305"/>
      <c r="J74" s="305"/>
      <c r="K74" s="305"/>
      <c r="L74" s="305"/>
      <c r="M74" s="305"/>
      <c r="N74" s="305"/>
      <c r="O74" s="305"/>
      <c r="P74" s="305"/>
      <c r="Q74" s="313"/>
      <c r="R74" s="313"/>
      <c r="S74" s="313"/>
      <c r="T74" s="313"/>
      <c r="U74" s="313"/>
      <c r="V74" s="313"/>
      <c r="W74" s="313"/>
      <c r="X74" s="313"/>
      <c r="Y74" s="313"/>
      <c r="Z74" s="313"/>
      <c r="AA74" s="313"/>
      <c r="AB74" s="313"/>
      <c r="AC74" s="313"/>
    </row>
    <row r="75" spans="2:29">
      <c r="B75" s="305"/>
      <c r="C75" s="305"/>
      <c r="D75" s="305"/>
      <c r="E75" s="305"/>
      <c r="F75" s="307"/>
      <c r="G75" s="307"/>
      <c r="H75" s="305"/>
      <c r="I75" s="305"/>
      <c r="J75" s="305"/>
      <c r="K75" s="305"/>
      <c r="L75" s="305"/>
      <c r="M75" s="305"/>
      <c r="N75" s="305"/>
      <c r="O75" s="305"/>
      <c r="P75" s="305"/>
      <c r="Q75" s="313"/>
      <c r="R75" s="313"/>
      <c r="S75" s="313"/>
      <c r="T75" s="313"/>
      <c r="U75" s="313"/>
      <c r="V75" s="313"/>
      <c r="W75" s="313"/>
      <c r="X75" s="313"/>
      <c r="Y75" s="313"/>
      <c r="Z75" s="313"/>
      <c r="AA75" s="313"/>
      <c r="AB75" s="313"/>
      <c r="AC75" s="313"/>
    </row>
    <row r="76" spans="2:29">
      <c r="B76" s="305"/>
      <c r="C76" s="305"/>
      <c r="D76" s="305"/>
      <c r="E76" s="305"/>
      <c r="F76" s="307"/>
      <c r="G76" s="307"/>
      <c r="H76" s="305"/>
      <c r="I76" s="305"/>
      <c r="J76" s="305"/>
      <c r="K76" s="305"/>
      <c r="L76" s="305"/>
      <c r="M76" s="305"/>
      <c r="N76" s="305"/>
      <c r="O76" s="305"/>
      <c r="P76" s="305"/>
      <c r="Q76" s="313"/>
      <c r="R76" s="313"/>
      <c r="S76" s="313"/>
      <c r="T76" s="328"/>
      <c r="U76" s="313"/>
      <c r="V76" s="313"/>
      <c r="W76" s="313"/>
      <c r="X76" s="313"/>
      <c r="Y76" s="313"/>
      <c r="Z76" s="313"/>
      <c r="AA76" s="313"/>
      <c r="AB76" s="313"/>
      <c r="AC76" s="313"/>
    </row>
    <row r="77" spans="2:29">
      <c r="B77" s="305"/>
      <c r="C77" s="305"/>
      <c r="D77" s="305"/>
      <c r="E77" s="305"/>
      <c r="F77" s="307"/>
      <c r="G77" s="307"/>
      <c r="H77" s="305"/>
      <c r="I77" s="305"/>
      <c r="J77" s="305"/>
      <c r="K77" s="305"/>
      <c r="L77" s="305"/>
      <c r="M77" s="305"/>
      <c r="N77" s="305"/>
      <c r="O77" s="305"/>
      <c r="P77" s="305"/>
      <c r="Q77" s="313"/>
      <c r="R77" s="313"/>
      <c r="S77" s="313"/>
      <c r="T77" s="313"/>
      <c r="U77" s="313"/>
      <c r="V77" s="313"/>
      <c r="W77" s="313"/>
      <c r="X77" s="313"/>
      <c r="Y77" s="313"/>
      <c r="Z77" s="313"/>
      <c r="AA77" s="313"/>
      <c r="AB77" s="313"/>
      <c r="AC77" s="313"/>
    </row>
    <row r="78" spans="2:29" ht="13.5" customHeight="1"/>
    <row r="79" spans="2:29" ht="30" customHeight="1" thickBot="1">
      <c r="B79" s="272"/>
      <c r="C79" s="272"/>
      <c r="D79" s="272"/>
      <c r="E79" s="272"/>
      <c r="F79" s="272"/>
      <c r="G79" s="272"/>
      <c r="H79" s="272"/>
      <c r="I79" s="272"/>
      <c r="J79" s="272"/>
      <c r="K79" s="272"/>
      <c r="L79" s="272"/>
      <c r="M79" s="272"/>
      <c r="N79" s="272"/>
      <c r="O79" s="272"/>
      <c r="P79" s="272"/>
      <c r="Q79" s="273"/>
      <c r="R79" s="273"/>
      <c r="S79" s="273"/>
      <c r="T79" s="273"/>
      <c r="U79" s="273"/>
      <c r="V79" s="273"/>
      <c r="W79" s="273"/>
      <c r="X79" s="273"/>
      <c r="Y79" s="273"/>
      <c r="Z79" s="273"/>
      <c r="AA79" s="273"/>
      <c r="AB79" s="273"/>
      <c r="AC79" s="273"/>
    </row>
    <row r="83" spans="9:15">
      <c r="I83" s="27"/>
      <c r="J83" s="27"/>
      <c r="K83" s="27"/>
      <c r="L83" s="27"/>
      <c r="M83" s="27"/>
      <c r="N83" s="27"/>
      <c r="O83" s="27"/>
    </row>
    <row r="84" spans="9:15">
      <c r="I84" s="27"/>
      <c r="J84" s="27"/>
      <c r="K84" s="27"/>
      <c r="L84" s="27"/>
      <c r="M84" s="27"/>
      <c r="N84" s="27"/>
      <c r="O84" s="27"/>
    </row>
  </sheetData>
  <sheetProtection sheet="1" objects="1" scenarios="1"/>
  <mergeCells count="4">
    <mergeCell ref="P16:Q17"/>
    <mergeCell ref="P31:Q32"/>
    <mergeCell ref="P23:T23"/>
    <mergeCell ref="Q8:U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horizontalDpi="4294967293" verticalDpi="4294967293" r:id="rId1"/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249977111117893"/>
  </sheetPr>
  <dimension ref="A1:AI33"/>
  <sheetViews>
    <sheetView showGridLines="0" zoomScaleNormal="100" workbookViewId="0">
      <pane ySplit="1" topLeftCell="A2" activePane="bottomLeft" state="frozen"/>
      <selection pane="bottomLeft" activeCell="S18" sqref="S18"/>
    </sheetView>
  </sheetViews>
  <sheetFormatPr baseColWidth="10" defaultColWidth="9.1640625" defaultRowHeight="13"/>
  <cols>
    <col min="1" max="1" width="13" customWidth="1"/>
    <col min="2" max="2" width="11.6640625" customWidth="1"/>
    <col min="3" max="3" width="1.5" customWidth="1"/>
    <col min="4" max="4" width="10.5" bestFit="1" customWidth="1"/>
    <col min="6" max="6" width="35.1640625" bestFit="1" customWidth="1"/>
    <col min="7" max="7" width="1.6640625" customWidth="1"/>
    <col min="8" max="8" width="14.5" bestFit="1" customWidth="1"/>
    <col min="9" max="9" width="11.1640625" customWidth="1"/>
    <col min="10" max="10" width="1.83203125" customWidth="1"/>
    <col min="11" max="11" width="17.33203125" bestFit="1" customWidth="1"/>
    <col min="14" max="14" width="1.6640625" customWidth="1"/>
    <col min="15" max="15" width="11.6640625" bestFit="1" customWidth="1"/>
    <col min="16" max="16" width="46.5" bestFit="1" customWidth="1"/>
    <col min="17" max="17" width="7.5" bestFit="1" customWidth="1"/>
    <col min="18" max="18" width="10.6640625" style="161" customWidth="1"/>
    <col min="19" max="19" width="10.83203125" style="161" customWidth="1"/>
    <col min="20" max="20" width="1.5" customWidth="1"/>
    <col min="21" max="21" width="12.1640625" customWidth="1"/>
    <col min="22" max="22" width="10.83203125" customWidth="1"/>
    <col min="23" max="23" width="1.5" customWidth="1"/>
    <col min="24" max="24" width="14" bestFit="1" customWidth="1"/>
    <col min="25" max="25" width="12" bestFit="1" customWidth="1"/>
    <col min="26" max="26" width="23.1640625" bestFit="1" customWidth="1"/>
    <col min="27" max="30" width="3.6640625" customWidth="1"/>
    <col min="31" max="31" width="1.33203125" customWidth="1"/>
    <col min="32" max="32" width="12.1640625" customWidth="1"/>
    <col min="33" max="33" width="1.5" customWidth="1"/>
    <col min="34" max="34" width="19" bestFit="1" customWidth="1"/>
  </cols>
  <sheetData>
    <row r="1" spans="1:35">
      <c r="A1" s="20" t="s">
        <v>45</v>
      </c>
      <c r="B1" s="21" t="s">
        <v>109</v>
      </c>
      <c r="D1" s="14" t="s">
        <v>16</v>
      </c>
      <c r="E1" s="16" t="s">
        <v>74</v>
      </c>
      <c r="F1" s="15" t="s">
        <v>77</v>
      </c>
      <c r="H1" s="14" t="s">
        <v>59</v>
      </c>
      <c r="I1" s="15" t="s">
        <v>46</v>
      </c>
      <c r="K1" s="17" t="s">
        <v>65</v>
      </c>
      <c r="L1" s="19" t="s">
        <v>100</v>
      </c>
      <c r="M1" s="18">
        <v>1</v>
      </c>
      <c r="O1" s="14" t="s">
        <v>151</v>
      </c>
      <c r="P1" s="179" t="s">
        <v>154</v>
      </c>
      <c r="R1" s="158" t="s">
        <v>155</v>
      </c>
      <c r="S1" s="159" t="s">
        <v>153</v>
      </c>
      <c r="U1" s="14" t="s">
        <v>176</v>
      </c>
      <c r="V1" s="15" t="s">
        <v>177</v>
      </c>
      <c r="X1" s="14" t="s">
        <v>176</v>
      </c>
      <c r="Z1" s="14" t="s">
        <v>183</v>
      </c>
      <c r="AA1" s="16"/>
      <c r="AB1" s="16"/>
      <c r="AC1" s="16"/>
      <c r="AD1" s="15"/>
      <c r="AF1" s="151" t="s">
        <v>190</v>
      </c>
      <c r="AH1" s="110" t="s">
        <v>753</v>
      </c>
      <c r="AI1" s="110" t="s">
        <v>184</v>
      </c>
    </row>
    <row r="2" spans="1:35">
      <c r="A2" s="125" t="str">
        <f>Launguage!C81</f>
        <v>17"/A2</v>
      </c>
      <c r="B2" s="126">
        <f>17*0.0254</f>
        <v>0.43179999999999996</v>
      </c>
      <c r="D2" s="125" t="s">
        <v>75</v>
      </c>
      <c r="E2" s="127">
        <v>130</v>
      </c>
      <c r="F2" s="128" t="str">
        <f>Launguage!C91</f>
        <v>5 Farben, 24 Zoll System mit Kassette</v>
      </c>
      <c r="H2" s="125" t="s">
        <v>48</v>
      </c>
      <c r="I2" s="129">
        <f>0.841*1.189</f>
        <v>0.99994899999999998</v>
      </c>
      <c r="K2" s="130" t="s">
        <v>55</v>
      </c>
      <c r="L2" s="131" t="s">
        <v>89</v>
      </c>
      <c r="M2" s="132">
        <v>1</v>
      </c>
      <c r="O2" s="125" t="str">
        <f>Launguage!$C$110</f>
        <v>Foto</v>
      </c>
      <c r="P2" s="177" t="str">
        <f>Launguage!$C$116</f>
        <v>Foto (ISO JIS SCID Nr.5)</v>
      </c>
      <c r="Q2" s="189" t="s">
        <v>155</v>
      </c>
      <c r="R2" s="334" t="s">
        <v>758</v>
      </c>
      <c r="S2" s="333" t="s">
        <v>758</v>
      </c>
      <c r="U2" s="175" t="str">
        <f>Input!$D$15*24&amp;" "&amp;Launguage!$C$114</f>
        <v>72 Stunden</v>
      </c>
      <c r="V2" s="188" t="str">
        <f>ROUND(backdata!$D$59,0)&amp;" "&amp;Launguage!$C$114</f>
        <v>2 Stunden</v>
      </c>
      <c r="X2" s="125" t="str">
        <f>Launguage!$C$112</f>
        <v>Beschichtetes Papier</v>
      </c>
      <c r="Y2" s="189" t="s">
        <v>26</v>
      </c>
      <c r="Z2" s="134" t="str">
        <f>$Q$2&amp;Y2</f>
        <v>No.5Coated paper</v>
      </c>
      <c r="AA2" s="154">
        <f>backdata!A29</f>
        <v>27</v>
      </c>
      <c r="AB2" s="154">
        <f>AA2+1</f>
        <v>28</v>
      </c>
      <c r="AC2" s="154">
        <f t="shared" ref="AC2:AD2" si="0">AB2+1</f>
        <v>29</v>
      </c>
      <c r="AD2" s="162">
        <f t="shared" si="0"/>
        <v>30</v>
      </c>
      <c r="AF2" s="152" t="str">
        <f>Launguage!$D$2</f>
        <v>English</v>
      </c>
      <c r="AH2" t="str">
        <f>Launguage!$D$110</f>
        <v>Photo</v>
      </c>
      <c r="AI2" t="s">
        <v>155</v>
      </c>
    </row>
    <row r="3" spans="1:35">
      <c r="A3" s="125" t="str">
        <f>Launguage!C82</f>
        <v>24''/A1</v>
      </c>
      <c r="B3" s="126">
        <f>24*0.0254</f>
        <v>0.60959999999999992</v>
      </c>
      <c r="D3" s="125" t="s">
        <v>21</v>
      </c>
      <c r="E3" s="127">
        <v>300</v>
      </c>
      <c r="F3" s="128" t="str">
        <f>Launguage!C104</f>
        <v>6colour, 24 Zoll machine</v>
      </c>
      <c r="H3" s="125" t="s">
        <v>22</v>
      </c>
      <c r="I3" s="129">
        <f>0.594*0.841</f>
        <v>0.49955399999999994</v>
      </c>
      <c r="K3" s="125" t="s">
        <v>94</v>
      </c>
      <c r="L3" s="133" t="s">
        <v>95</v>
      </c>
      <c r="M3" s="132"/>
      <c r="O3" s="125" t="str">
        <f>Launguage!$C$111</f>
        <v>CAD-Zeichnung</v>
      </c>
      <c r="P3" s="177" t="str">
        <f>Launguage!$C$117</f>
        <v xml:space="preserve">CAD-Zeichnung (Cottage) </v>
      </c>
      <c r="Q3" s="189" t="s">
        <v>153</v>
      </c>
      <c r="R3" s="334" t="s">
        <v>759</v>
      </c>
      <c r="S3" s="333" t="s">
        <v>759</v>
      </c>
      <c r="X3" s="125" t="str">
        <f>Launguage!$C$113</f>
        <v>Normalpapier</v>
      </c>
      <c r="Y3" s="189" t="s">
        <v>182</v>
      </c>
      <c r="Z3" s="134" t="str">
        <f>$Q$2&amp;Y3</f>
        <v>No.5Plain paper</v>
      </c>
      <c r="AA3" s="154">
        <f>backdata!A37</f>
        <v>35</v>
      </c>
      <c r="AB3" s="154">
        <f t="shared" ref="AB3:AD3" si="1">AA3+1</f>
        <v>36</v>
      </c>
      <c r="AC3" s="154">
        <f t="shared" si="1"/>
        <v>37</v>
      </c>
      <c r="AD3" s="162">
        <f t="shared" si="1"/>
        <v>38</v>
      </c>
      <c r="AF3" s="152" t="str">
        <f>Launguage!$E$2</f>
        <v>Deutsch</v>
      </c>
      <c r="AH3" t="str">
        <f>Launguage!$E$110</f>
        <v>Foto</v>
      </c>
      <c r="AI3" t="s">
        <v>155</v>
      </c>
    </row>
    <row r="4" spans="1:35">
      <c r="A4" s="125" t="str">
        <f>Launguage!C83</f>
        <v>31.5"</v>
      </c>
      <c r="B4" s="126">
        <f>31.5*0.0254</f>
        <v>0.80009999999999992</v>
      </c>
      <c r="D4" s="125" t="s">
        <v>76</v>
      </c>
      <c r="E4" s="127">
        <v>300</v>
      </c>
      <c r="F4" s="128" t="str">
        <f>Launguage!C105</f>
        <v>8colour, 24 Zoll machine</v>
      </c>
      <c r="H4" s="125" t="s">
        <v>47</v>
      </c>
      <c r="I4" s="129">
        <f>0.42*0.594</f>
        <v>0.24947999999999998</v>
      </c>
      <c r="K4" s="125" t="s">
        <v>105</v>
      </c>
      <c r="L4" s="133" t="s">
        <v>135</v>
      </c>
      <c r="M4" s="132">
        <v>0.83</v>
      </c>
      <c r="O4" s="125" t="s">
        <v>155</v>
      </c>
      <c r="P4" s="177" t="str">
        <f>Launguage!$C$116</f>
        <v>Foto (ISO JIS SCID Nr.5)</v>
      </c>
      <c r="R4" s="334" t="s">
        <v>760</v>
      </c>
      <c r="S4" s="333" t="s">
        <v>760</v>
      </c>
      <c r="X4" s="125"/>
      <c r="Z4" s="134" t="str">
        <f>$Q$3&amp;Y2</f>
        <v>CottageCoated paper</v>
      </c>
      <c r="AA4" s="154">
        <f>backdata!A33</f>
        <v>31</v>
      </c>
      <c r="AB4" s="154">
        <f t="shared" ref="AB4:AD4" si="2">AA4+1</f>
        <v>32</v>
      </c>
      <c r="AC4" s="154">
        <f t="shared" si="2"/>
        <v>33</v>
      </c>
      <c r="AD4" s="162">
        <f t="shared" si="2"/>
        <v>34</v>
      </c>
      <c r="AF4" s="152" t="str">
        <f>Launguage!$F$2</f>
        <v>Español</v>
      </c>
      <c r="AH4" t="str">
        <f>Launguage!$F$110</f>
        <v>Foto/Cartel</v>
      </c>
      <c r="AI4" t="s">
        <v>155</v>
      </c>
    </row>
    <row r="5" spans="1:35">
      <c r="A5" s="125" t="str">
        <f>Launguage!C84</f>
        <v>36"/A0</v>
      </c>
      <c r="B5" s="126">
        <f>36*0.0254</f>
        <v>0.91439999999999999</v>
      </c>
      <c r="D5" s="125" t="s">
        <v>800</v>
      </c>
      <c r="E5" s="127">
        <v>700</v>
      </c>
      <c r="F5" s="128" t="str">
        <f>Launguage!C102</f>
        <v>8-Farb-Gerät (44 Zoll)</v>
      </c>
      <c r="H5" s="125" t="s">
        <v>87</v>
      </c>
      <c r="I5" s="129">
        <f>0.297*0.42</f>
        <v>0.12473999999999999</v>
      </c>
      <c r="K5" s="125" t="s">
        <v>98</v>
      </c>
      <c r="L5" s="133" t="s">
        <v>727</v>
      </c>
      <c r="M5" s="132"/>
      <c r="O5" s="125" t="s">
        <v>376</v>
      </c>
      <c r="P5" s="177" t="str">
        <f>Launguage!$C$116</f>
        <v>Foto (ISO JIS SCID Nr.5)</v>
      </c>
      <c r="R5" s="334" t="s">
        <v>761</v>
      </c>
      <c r="S5" s="333" t="s">
        <v>761</v>
      </c>
      <c r="X5" s="125"/>
      <c r="Z5" s="134" t="str">
        <f>$Q$3&amp;Y3</f>
        <v>CottagePlain paper</v>
      </c>
      <c r="AA5" s="154">
        <f>backdata!A41</f>
        <v>39</v>
      </c>
      <c r="AB5" s="154">
        <f t="shared" ref="AB5:AD5" si="3">AA5+1</f>
        <v>40</v>
      </c>
      <c r="AC5" s="154">
        <f t="shared" si="3"/>
        <v>41</v>
      </c>
      <c r="AD5" s="162">
        <f t="shared" si="3"/>
        <v>42</v>
      </c>
      <c r="AF5" s="152" t="str">
        <f>Launguage!$G$2</f>
        <v>Français</v>
      </c>
      <c r="AH5" t="str">
        <f>Launguage!$G$110</f>
        <v>Photo</v>
      </c>
      <c r="AI5" t="s">
        <v>155</v>
      </c>
    </row>
    <row r="6" spans="1:35">
      <c r="A6" s="125" t="str">
        <f>Launguage!C85</f>
        <v>42"</v>
      </c>
      <c r="B6" s="126">
        <f>42*0.0254</f>
        <v>1.0668</v>
      </c>
      <c r="D6" s="336" t="s">
        <v>758</v>
      </c>
      <c r="E6" s="337">
        <v>300</v>
      </c>
      <c r="F6" s="128" t="str">
        <f>Launguage!C92</f>
        <v>5 Farben, 24 Zoll System</v>
      </c>
      <c r="H6" s="125" t="s">
        <v>86</v>
      </c>
      <c r="I6" s="129">
        <f>0.21*0.297</f>
        <v>6.2369999999999995E-2</v>
      </c>
      <c r="K6" s="125" t="s">
        <v>90</v>
      </c>
      <c r="L6" s="133" t="s">
        <v>728</v>
      </c>
      <c r="M6" s="132">
        <v>7.46</v>
      </c>
      <c r="O6" s="125" t="s">
        <v>280</v>
      </c>
      <c r="P6" s="177" t="str">
        <f>Launguage!$C$116</f>
        <v>Foto (ISO JIS SCID Nr.5)</v>
      </c>
      <c r="R6" s="334" t="s">
        <v>762</v>
      </c>
      <c r="S6" s="333" t="s">
        <v>762</v>
      </c>
      <c r="X6" s="125"/>
      <c r="Z6" s="134"/>
      <c r="AA6" s="153"/>
      <c r="AB6" s="153"/>
      <c r="AC6" s="153"/>
      <c r="AD6" s="163"/>
      <c r="AF6" s="152" t="str">
        <f>Launguage!$H$2</f>
        <v>Italiano</v>
      </c>
      <c r="AH6" t="str">
        <f>Launguage!$H$110</f>
        <v>Foto</v>
      </c>
      <c r="AI6" t="s">
        <v>155</v>
      </c>
    </row>
    <row r="7" spans="1:35">
      <c r="A7" s="125" t="str">
        <f>Launguage!C86</f>
        <v>44"</v>
      </c>
      <c r="B7" s="126">
        <f>44*0.0254</f>
        <v>1.1175999999999999</v>
      </c>
      <c r="D7" s="336" t="s">
        <v>759</v>
      </c>
      <c r="E7" s="337">
        <v>300</v>
      </c>
      <c r="F7" s="128" t="str">
        <f>Launguage!C94</f>
        <v>5-Farb-System 24 Zoll mit Festplatte</v>
      </c>
      <c r="H7" s="125" t="s">
        <v>110</v>
      </c>
      <c r="I7" s="129">
        <f>0.4*0.6</f>
        <v>0.24</v>
      </c>
      <c r="K7" s="125" t="s">
        <v>99</v>
      </c>
      <c r="L7" s="133" t="s">
        <v>729</v>
      </c>
      <c r="M7" s="132"/>
      <c r="O7" s="125" t="s">
        <v>153</v>
      </c>
      <c r="P7" s="177" t="str">
        <f>Launguage!$C$117</f>
        <v xml:space="preserve">CAD-Zeichnung (Cottage) </v>
      </c>
      <c r="R7" s="334" t="s">
        <v>763</v>
      </c>
      <c r="S7" s="333" t="s">
        <v>763</v>
      </c>
      <c r="X7" s="125"/>
      <c r="Z7" s="134"/>
      <c r="AA7" s="153"/>
      <c r="AB7" s="153"/>
      <c r="AC7" s="153"/>
      <c r="AD7" s="163"/>
      <c r="AF7" s="152" t="str">
        <f>Launguage!$I$2</f>
        <v>Nederlands</v>
      </c>
      <c r="AH7" t="str">
        <f>Launguage!$I$110</f>
        <v>Photo</v>
      </c>
      <c r="AI7" t="s">
        <v>155</v>
      </c>
    </row>
    <row r="8" spans="1:35">
      <c r="A8" s="125" t="str">
        <f>Launguage!C87</f>
        <v>50"</v>
      </c>
      <c r="B8" s="126">
        <f>50*0.0254</f>
        <v>1.27</v>
      </c>
      <c r="D8" s="336" t="s">
        <v>760</v>
      </c>
      <c r="E8" s="337">
        <v>300</v>
      </c>
      <c r="F8" s="128" t="str">
        <f>Launguage!C97</f>
        <v>5 Farben, 36 Zoll System</v>
      </c>
      <c r="H8" s="125" t="s">
        <v>111</v>
      </c>
      <c r="I8" s="129">
        <f>0.8*0.6</f>
        <v>0.48</v>
      </c>
      <c r="K8" s="125" t="s">
        <v>104</v>
      </c>
      <c r="L8" s="133" t="s">
        <v>730</v>
      </c>
      <c r="M8" s="132"/>
      <c r="O8" s="125" t="s">
        <v>281</v>
      </c>
      <c r="P8" s="177" t="str">
        <f>Launguage!$C$117</f>
        <v xml:space="preserve">CAD-Zeichnung (Cottage) </v>
      </c>
      <c r="R8" s="334" t="s">
        <v>764</v>
      </c>
      <c r="S8" s="333" t="s">
        <v>764</v>
      </c>
      <c r="X8" s="125"/>
      <c r="Z8" s="134"/>
      <c r="AA8" s="153"/>
      <c r="AB8" s="153"/>
      <c r="AC8" s="153"/>
      <c r="AD8" s="163"/>
      <c r="AF8" s="152" t="str">
        <f>Launguage!$J$2</f>
        <v>Русской</v>
      </c>
      <c r="AH8" t="str">
        <f>Launguage!$J$110</f>
        <v>Плакат</v>
      </c>
      <c r="AI8" t="s">
        <v>155</v>
      </c>
    </row>
    <row r="9" spans="1:35">
      <c r="A9" s="125" t="str">
        <f>Launguage!C88</f>
        <v>60"</v>
      </c>
      <c r="B9" s="126">
        <f>60*0.0254</f>
        <v>1.524</v>
      </c>
      <c r="D9" s="336" t="s">
        <v>761</v>
      </c>
      <c r="E9" s="337">
        <v>300</v>
      </c>
      <c r="F9" s="128" t="str">
        <f>Launguage!C98</f>
        <v>5-Farb-System 36 Zoll mit Festplatte</v>
      </c>
      <c r="H9" s="125" t="s">
        <v>112</v>
      </c>
      <c r="I9" s="129">
        <f>0.8*1</f>
        <v>0.8</v>
      </c>
      <c r="K9" s="125" t="s">
        <v>102</v>
      </c>
      <c r="L9" s="133" t="s">
        <v>103</v>
      </c>
      <c r="M9" s="132"/>
      <c r="O9" s="125" t="s">
        <v>713</v>
      </c>
      <c r="P9" s="177" t="str">
        <f>Launguage!$C$117</f>
        <v xml:space="preserve">CAD-Zeichnung (Cottage) </v>
      </c>
      <c r="R9" s="160" t="s">
        <v>800</v>
      </c>
      <c r="S9" s="347" t="s">
        <v>792</v>
      </c>
      <c r="X9" s="125"/>
      <c r="Z9" s="134"/>
      <c r="AA9" s="153"/>
      <c r="AB9" s="153"/>
      <c r="AC9" s="153"/>
      <c r="AD9" s="163"/>
      <c r="AF9" s="152" t="str">
        <f>IF(Launguage!$K$2=0,"",Launguage!$K$2)</f>
        <v/>
      </c>
      <c r="AH9">
        <f>Launguage!$K$110</f>
        <v>0</v>
      </c>
      <c r="AI9" t="s">
        <v>155</v>
      </c>
    </row>
    <row r="10" spans="1:35">
      <c r="A10" s="125"/>
      <c r="B10" s="126"/>
      <c r="D10" s="336" t="s">
        <v>764</v>
      </c>
      <c r="E10" s="337">
        <v>700</v>
      </c>
      <c r="F10" s="128" t="str">
        <f>Launguage!C99</f>
        <v>5-Farb-System 36 Zoll mit Festplatte</v>
      </c>
      <c r="H10" s="125" t="s">
        <v>113</v>
      </c>
      <c r="I10" s="129">
        <f>1.2*1.76</f>
        <v>2.1120000000000001</v>
      </c>
      <c r="K10" s="125" t="s">
        <v>91</v>
      </c>
      <c r="L10" s="133" t="s">
        <v>730</v>
      </c>
      <c r="M10" s="132">
        <v>8.4</v>
      </c>
      <c r="O10" s="125"/>
      <c r="P10" s="177"/>
      <c r="R10" s="160" t="s">
        <v>792</v>
      </c>
      <c r="S10" s="347" t="s">
        <v>793</v>
      </c>
      <c r="X10" s="125"/>
      <c r="Z10" s="134"/>
      <c r="AA10" s="153"/>
      <c r="AB10" s="153"/>
      <c r="AC10" s="153"/>
      <c r="AD10" s="163"/>
      <c r="AF10" s="152"/>
      <c r="AH10" t="str">
        <f>Launguage!$D$111</f>
        <v>CAD drawing</v>
      </c>
      <c r="AI10" s="110" t="s">
        <v>153</v>
      </c>
    </row>
    <row r="11" spans="1:35">
      <c r="A11" s="125"/>
      <c r="B11" s="126"/>
      <c r="D11" s="336" t="s">
        <v>763</v>
      </c>
      <c r="E11" s="337">
        <v>700</v>
      </c>
      <c r="F11" s="128" t="str">
        <f>Launguage!C100</f>
        <v>5-Farb-System 44 Zoll mit Festplatte</v>
      </c>
      <c r="H11" s="125"/>
      <c r="I11" s="129"/>
      <c r="K11" s="125" t="s">
        <v>97</v>
      </c>
      <c r="L11" s="133" t="s">
        <v>731</v>
      </c>
      <c r="M11" s="132"/>
      <c r="O11" s="125"/>
      <c r="P11" s="177"/>
      <c r="R11" s="160" t="s">
        <v>793</v>
      </c>
      <c r="S11" s="347"/>
      <c r="X11" s="125"/>
      <c r="Z11" s="134"/>
      <c r="AA11" s="153"/>
      <c r="AB11" s="153"/>
      <c r="AC11" s="153"/>
      <c r="AD11" s="163"/>
      <c r="AF11" s="152"/>
      <c r="AH11" t="str">
        <f>Launguage!$E$111</f>
        <v>CAD-Zeichnung</v>
      </c>
      <c r="AI11" s="110" t="s">
        <v>153</v>
      </c>
    </row>
    <row r="12" spans="1:35">
      <c r="A12" s="125"/>
      <c r="B12" s="126"/>
      <c r="D12" s="336" t="s">
        <v>762</v>
      </c>
      <c r="E12" s="337">
        <v>700</v>
      </c>
      <c r="F12" s="128" t="str">
        <f>Launguage!C101</f>
        <v>5-Farb-System 24 Zoll mit Festplatte</v>
      </c>
      <c r="H12" s="125"/>
      <c r="I12" s="129"/>
      <c r="K12" s="125" t="s">
        <v>633</v>
      </c>
      <c r="L12" s="133" t="s">
        <v>634</v>
      </c>
      <c r="M12" s="132">
        <v>75</v>
      </c>
      <c r="O12" s="125"/>
      <c r="P12" s="178"/>
      <c r="R12" s="160"/>
      <c r="S12" s="129"/>
      <c r="X12" s="125"/>
      <c r="Z12" s="134"/>
      <c r="AA12" s="153"/>
      <c r="AB12" s="153"/>
      <c r="AC12" s="153"/>
      <c r="AD12" s="163"/>
      <c r="AF12" s="152"/>
      <c r="AH12" t="str">
        <f>Launguage!$F$111</f>
        <v xml:space="preserve">Dibujo CAD </v>
      </c>
      <c r="AI12" s="110" t="s">
        <v>153</v>
      </c>
    </row>
    <row r="13" spans="1:35">
      <c r="A13" s="125"/>
      <c r="B13" s="126"/>
      <c r="D13" s="139" t="s">
        <v>792</v>
      </c>
      <c r="E13" s="140">
        <v>55</v>
      </c>
      <c r="F13" s="128" t="str">
        <f>Launguage!C106</f>
        <v>5-Farb-Gerät (24 Zoll)</v>
      </c>
      <c r="H13" s="125"/>
      <c r="I13" s="129"/>
      <c r="K13" s="125" t="s">
        <v>101</v>
      </c>
      <c r="L13" s="133" t="s">
        <v>732</v>
      </c>
      <c r="M13" s="132"/>
      <c r="O13" s="125"/>
      <c r="P13" s="178"/>
      <c r="R13" s="160"/>
      <c r="S13" s="129"/>
      <c r="X13" s="125"/>
      <c r="Z13" s="134"/>
      <c r="AA13" s="153"/>
      <c r="AB13" s="153"/>
      <c r="AC13" s="153"/>
      <c r="AD13" s="163"/>
      <c r="AF13" s="152"/>
      <c r="AH13" t="str">
        <f>Launguage!$G$111</f>
        <v>CAD dessin</v>
      </c>
      <c r="AI13" s="110" t="s">
        <v>153</v>
      </c>
    </row>
    <row r="14" spans="1:35">
      <c r="A14" s="125"/>
      <c r="B14" s="126"/>
      <c r="D14" s="139" t="s">
        <v>793</v>
      </c>
      <c r="E14" s="140">
        <v>55</v>
      </c>
      <c r="F14" s="128" t="str">
        <f>Launguage!C107</f>
        <v>5-Farb-Gerät (36 Zoll)</v>
      </c>
      <c r="H14" s="125"/>
      <c r="I14" s="129"/>
      <c r="K14" s="125" t="s">
        <v>92</v>
      </c>
      <c r="L14" s="133" t="s">
        <v>730</v>
      </c>
      <c r="M14" s="132">
        <v>8.81</v>
      </c>
      <c r="O14" s="125"/>
      <c r="P14" s="178"/>
      <c r="R14" s="160"/>
      <c r="S14" s="129"/>
      <c r="X14" s="125"/>
      <c r="Z14" s="134"/>
      <c r="AA14" s="153"/>
      <c r="AB14" s="153"/>
      <c r="AC14" s="153"/>
      <c r="AD14" s="163"/>
      <c r="AF14" s="152"/>
      <c r="AH14" t="str">
        <f>Launguage!$H$111</f>
        <v>CAD disegno</v>
      </c>
      <c r="AI14" s="110" t="s">
        <v>153</v>
      </c>
    </row>
    <row r="15" spans="1:35">
      <c r="A15" s="125"/>
      <c r="B15" s="126"/>
      <c r="D15" s="139"/>
      <c r="E15" s="140"/>
      <c r="F15" s="141"/>
      <c r="H15" s="125"/>
      <c r="I15" s="129"/>
      <c r="K15" s="125" t="s">
        <v>93</v>
      </c>
      <c r="L15" s="133" t="s">
        <v>733</v>
      </c>
      <c r="M15" s="132">
        <v>1.22</v>
      </c>
      <c r="O15" s="125"/>
      <c r="P15" s="178"/>
      <c r="R15" s="160"/>
      <c r="S15" s="129"/>
      <c r="X15" s="125"/>
      <c r="Z15" s="134"/>
      <c r="AA15" s="153"/>
      <c r="AB15" s="153"/>
      <c r="AC15" s="153"/>
      <c r="AD15" s="163"/>
      <c r="AF15" s="152"/>
      <c r="AH15" t="str">
        <f>Launguage!$I$111</f>
        <v>CAD drawing</v>
      </c>
      <c r="AI15" s="110" t="s">
        <v>153</v>
      </c>
    </row>
    <row r="16" spans="1:35">
      <c r="A16" s="125"/>
      <c r="B16" s="126"/>
      <c r="D16" s="139"/>
      <c r="E16" s="140"/>
      <c r="F16" s="141"/>
      <c r="H16" s="125"/>
      <c r="I16" s="129"/>
      <c r="K16" s="125" t="s">
        <v>96</v>
      </c>
      <c r="L16" s="133" t="s">
        <v>734</v>
      </c>
      <c r="M16" s="132"/>
      <c r="O16" s="125"/>
      <c r="P16" s="178"/>
      <c r="R16" s="160"/>
      <c r="S16" s="129"/>
      <c r="X16" s="125"/>
      <c r="Z16" s="134"/>
      <c r="AA16" s="153"/>
      <c r="AB16" s="153"/>
      <c r="AC16" s="153"/>
      <c r="AD16" s="163"/>
      <c r="AF16" s="152"/>
      <c r="AH16" t="str">
        <f>Launguage!$J$111</f>
        <v>Коттедж</v>
      </c>
      <c r="AI16" s="110" t="s">
        <v>153</v>
      </c>
    </row>
    <row r="17" spans="1:35">
      <c r="A17" s="125"/>
      <c r="B17" s="126"/>
      <c r="D17" s="139"/>
      <c r="E17" s="140"/>
      <c r="F17" s="141"/>
      <c r="H17" s="125"/>
      <c r="I17" s="129"/>
      <c r="K17" s="125"/>
      <c r="L17" s="133"/>
      <c r="M17" s="132"/>
      <c r="O17" s="125"/>
      <c r="P17" s="178"/>
      <c r="R17" s="160"/>
      <c r="S17" s="129"/>
      <c r="X17" s="125"/>
      <c r="Z17" s="134"/>
      <c r="AA17" s="153"/>
      <c r="AB17" s="153"/>
      <c r="AC17" s="153"/>
      <c r="AD17" s="163"/>
      <c r="AF17" s="152"/>
      <c r="AH17">
        <f>Launguage!$K$111</f>
        <v>0</v>
      </c>
      <c r="AI17" s="110" t="s">
        <v>153</v>
      </c>
    </row>
    <row r="18" spans="1:35">
      <c r="A18" s="125"/>
      <c r="B18" s="126"/>
      <c r="D18" s="125"/>
      <c r="E18" s="127"/>
      <c r="F18" s="128"/>
      <c r="H18" s="125"/>
      <c r="I18" s="129"/>
      <c r="K18" s="125"/>
      <c r="L18" s="133"/>
      <c r="M18" s="132"/>
      <c r="O18" s="125"/>
      <c r="P18" s="178"/>
      <c r="R18" s="160"/>
      <c r="S18" s="129"/>
      <c r="X18" s="125"/>
      <c r="Z18" s="134"/>
      <c r="AA18" s="153"/>
      <c r="AB18" s="153"/>
      <c r="AC18" s="153"/>
      <c r="AD18" s="163"/>
      <c r="AF18" s="152"/>
      <c r="AH18" t="str">
        <f>Launguage!$D$112</f>
        <v>Coated paper</v>
      </c>
      <c r="AI18" t="s">
        <v>26</v>
      </c>
    </row>
    <row r="19" spans="1:35">
      <c r="A19" s="125"/>
      <c r="B19" s="126"/>
      <c r="D19" s="125"/>
      <c r="E19" s="127"/>
      <c r="F19" s="128"/>
      <c r="H19" s="125"/>
      <c r="I19" s="129"/>
      <c r="K19" s="125"/>
      <c r="L19" s="133"/>
      <c r="M19" s="132"/>
      <c r="O19" s="125"/>
      <c r="P19" s="178"/>
      <c r="R19" s="160"/>
      <c r="S19" s="129"/>
      <c r="X19" s="125"/>
      <c r="Z19" s="134"/>
      <c r="AA19" s="153"/>
      <c r="AB19" s="153"/>
      <c r="AC19" s="153"/>
      <c r="AD19" s="163"/>
      <c r="AF19" s="152"/>
      <c r="AH19" t="str">
        <f>Launguage!$E$112</f>
        <v>Beschichtetes Papier</v>
      </c>
      <c r="AI19" t="s">
        <v>26</v>
      </c>
    </row>
    <row r="20" spans="1:35">
      <c r="A20" s="125"/>
      <c r="B20" s="126"/>
      <c r="D20" s="125"/>
      <c r="E20" s="127"/>
      <c r="F20" s="128"/>
      <c r="H20" s="125"/>
      <c r="I20" s="129"/>
      <c r="K20" s="125"/>
      <c r="L20" s="133"/>
      <c r="M20" s="132"/>
      <c r="O20" s="125"/>
      <c r="P20" s="178"/>
      <c r="R20" s="160"/>
      <c r="S20" s="129"/>
      <c r="X20" s="125"/>
      <c r="Z20" s="134"/>
      <c r="AA20" s="153"/>
      <c r="AB20" s="153"/>
      <c r="AC20" s="153"/>
      <c r="AD20" s="163"/>
      <c r="AF20" s="152"/>
      <c r="AH20" t="str">
        <f>Launguage!$F$112</f>
        <v>Papel estucado</v>
      </c>
      <c r="AI20" t="s">
        <v>26</v>
      </c>
    </row>
    <row r="21" spans="1:35">
      <c r="A21" s="125"/>
      <c r="B21" s="126"/>
      <c r="D21" s="125"/>
      <c r="E21" s="127"/>
      <c r="F21" s="128"/>
      <c r="H21" s="125"/>
      <c r="I21" s="129"/>
      <c r="K21" s="125"/>
      <c r="L21" s="133"/>
      <c r="M21" s="132"/>
      <c r="O21" s="125"/>
      <c r="P21" s="178"/>
      <c r="R21" s="356" t="s">
        <v>802</v>
      </c>
      <c r="S21" s="357"/>
      <c r="X21" s="125"/>
      <c r="Z21" s="134"/>
      <c r="AA21" s="153"/>
      <c r="AB21" s="153"/>
      <c r="AC21" s="153"/>
      <c r="AD21" s="163"/>
      <c r="AF21" s="152"/>
      <c r="AH21" t="str">
        <f>Launguage!$G$112</f>
        <v>Papier couché</v>
      </c>
      <c r="AI21" t="s">
        <v>26</v>
      </c>
    </row>
    <row r="22" spans="1:35">
      <c r="D22" s="125"/>
      <c r="E22" s="127"/>
      <c r="F22" s="128"/>
      <c r="R22" s="334" t="s">
        <v>760</v>
      </c>
      <c r="S22" s="333" t="s">
        <v>760</v>
      </c>
      <c r="AH22" t="str">
        <f>Launguage!$H$112</f>
        <v>Carta patinata</v>
      </c>
      <c r="AI22" t="s">
        <v>26</v>
      </c>
    </row>
    <row r="23" spans="1:35">
      <c r="D23" s="125"/>
      <c r="E23" s="127"/>
      <c r="F23" s="128"/>
      <c r="R23" s="334" t="s">
        <v>761</v>
      </c>
      <c r="S23" s="333" t="s">
        <v>761</v>
      </c>
      <c r="AH23" t="str">
        <f>Launguage!$I$112</f>
        <v>Gecoat papier</v>
      </c>
      <c r="AI23" t="s">
        <v>26</v>
      </c>
    </row>
    <row r="24" spans="1:35">
      <c r="D24" s="139"/>
      <c r="E24" s="140"/>
      <c r="F24" s="141"/>
      <c r="R24" s="334" t="s">
        <v>763</v>
      </c>
      <c r="S24" s="333" t="s">
        <v>763</v>
      </c>
      <c r="AH24" t="str">
        <f>Launguage!$J$112</f>
        <v>бумага с покрытием</v>
      </c>
      <c r="AI24" t="s">
        <v>26</v>
      </c>
    </row>
    <row r="25" spans="1:35">
      <c r="R25" s="334" t="s">
        <v>764</v>
      </c>
      <c r="S25" s="333" t="s">
        <v>764</v>
      </c>
      <c r="AH25">
        <f>Launguage!$K$112</f>
        <v>0</v>
      </c>
      <c r="AI25" t="s">
        <v>26</v>
      </c>
    </row>
    <row r="26" spans="1:35">
      <c r="R26" s="160" t="s">
        <v>800</v>
      </c>
      <c r="S26" s="347" t="s">
        <v>793</v>
      </c>
      <c r="AH26" t="str">
        <f>Launguage!$D$113</f>
        <v>Plain paper</v>
      </c>
      <c r="AI26" t="s">
        <v>182</v>
      </c>
    </row>
    <row r="27" spans="1:35">
      <c r="R27" s="160" t="s">
        <v>793</v>
      </c>
      <c r="S27" s="347"/>
      <c r="AH27" t="str">
        <f>Launguage!$E$113</f>
        <v>Normalpapier</v>
      </c>
      <c r="AI27" t="s">
        <v>182</v>
      </c>
    </row>
    <row r="28" spans="1:35">
      <c r="R28" s="334"/>
      <c r="S28" s="333"/>
      <c r="AH28" t="str">
        <f>Launguage!$F$113</f>
        <v>Papel normal</v>
      </c>
      <c r="AI28" t="s">
        <v>182</v>
      </c>
    </row>
    <row r="29" spans="1:35">
      <c r="R29" s="160"/>
      <c r="S29" s="347"/>
      <c r="AH29" t="str">
        <f>Launguage!$G$113</f>
        <v>Papier ordinaire</v>
      </c>
      <c r="AI29" t="s">
        <v>182</v>
      </c>
    </row>
    <row r="30" spans="1:35">
      <c r="R30" s="160"/>
      <c r="S30" s="347"/>
      <c r="AH30" t="str">
        <f>Launguage!$H$113</f>
        <v>Carta comune</v>
      </c>
      <c r="AI30" t="s">
        <v>182</v>
      </c>
    </row>
    <row r="31" spans="1:35">
      <c r="R31" s="160"/>
      <c r="S31" s="347"/>
      <c r="AH31" t="str">
        <f>Launguage!$I$113</f>
        <v>Gewoon papier</v>
      </c>
      <c r="AI31" t="s">
        <v>182</v>
      </c>
    </row>
    <row r="32" spans="1:35">
      <c r="AH32" t="str">
        <f>Launguage!$J$113</f>
        <v>Обычная бумага</v>
      </c>
      <c r="AI32" t="s">
        <v>182</v>
      </c>
    </row>
    <row r="33" spans="34:35">
      <c r="AH33">
        <f>Launguage!$K$113</f>
        <v>0</v>
      </c>
      <c r="AI33" t="s">
        <v>182</v>
      </c>
    </row>
  </sheetData>
  <sortState xmlns:xlrd2="http://schemas.microsoft.com/office/spreadsheetml/2017/richdata2" ref="A2:B9">
    <sortCondition ref="A2:A9"/>
  </sortState>
  <mergeCells count="1">
    <mergeCell ref="R21:S21"/>
  </mergeCells>
  <pageMargins left="0.7" right="0.7" top="0.75" bottom="0.75" header="0.3" footer="0.3"/>
  <pageSetup paperSize="9" orientation="portrait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249977111117893"/>
  </sheetPr>
  <dimension ref="A1:R86"/>
  <sheetViews>
    <sheetView zoomScale="85" zoomScaleNormal="85" workbookViewId="0">
      <pane xSplit="4" ySplit="3" topLeftCell="E4" activePane="bottomRight" state="frozen"/>
      <selection activeCell="F28" sqref="F28"/>
      <selection pane="topRight" activeCell="F28" sqref="F28"/>
      <selection pane="bottomLeft" activeCell="F28" sqref="F28"/>
      <selection pane="bottomRight" activeCell="E4" sqref="E4"/>
    </sheetView>
  </sheetViews>
  <sheetFormatPr baseColWidth="10" defaultColWidth="9.1640625" defaultRowHeight="13"/>
  <cols>
    <col min="1" max="1" width="3.1640625" style="1" bestFit="1" customWidth="1"/>
    <col min="2" max="2" width="19.1640625" style="1" bestFit="1" customWidth="1"/>
    <col min="3" max="3" width="31.83203125" style="1" bestFit="1" customWidth="1"/>
    <col min="4" max="4" width="14.6640625" style="1" bestFit="1" customWidth="1"/>
    <col min="5" max="6" width="14.6640625" style="1" customWidth="1"/>
    <col min="7" max="17" width="14.5" style="1" customWidth="1"/>
    <col min="18" max="18" width="23.83203125" style="1" bestFit="1" customWidth="1"/>
    <col min="19" max="16384" width="9.1640625" style="1"/>
  </cols>
  <sheetData>
    <row r="1" spans="1:18" ht="3.75" customHeight="1"/>
    <row r="2" spans="1:18" ht="14" thickBot="1">
      <c r="D2" s="2" t="s">
        <v>158</v>
      </c>
      <c r="E2" s="2"/>
      <c r="F2" s="2"/>
    </row>
    <row r="3" spans="1:18">
      <c r="A3" s="1">
        <v>1</v>
      </c>
      <c r="B3" s="1" t="s">
        <v>14</v>
      </c>
      <c r="C3" s="1" t="s">
        <v>16</v>
      </c>
      <c r="D3" s="77" t="str">
        <f>Input!$K$11</f>
        <v>TA-20</v>
      </c>
      <c r="E3" s="332" t="s">
        <v>792</v>
      </c>
      <c r="F3" s="142" t="s">
        <v>793</v>
      </c>
      <c r="G3" s="331" t="s">
        <v>75</v>
      </c>
      <c r="H3" s="331" t="s">
        <v>21</v>
      </c>
      <c r="I3" s="2" t="s">
        <v>76</v>
      </c>
      <c r="J3" s="340" t="s">
        <v>758</v>
      </c>
      <c r="K3" s="341" t="s">
        <v>759</v>
      </c>
      <c r="L3" s="341" t="s">
        <v>760</v>
      </c>
      <c r="M3" s="341" t="s">
        <v>761</v>
      </c>
      <c r="N3" s="341" t="s">
        <v>762</v>
      </c>
      <c r="O3" s="341" t="s">
        <v>763</v>
      </c>
      <c r="P3" s="341" t="s">
        <v>764</v>
      </c>
      <c r="Q3" s="142" t="s">
        <v>800</v>
      </c>
    </row>
    <row r="4" spans="1:18">
      <c r="A4" s="1">
        <v>2</v>
      </c>
      <c r="C4" s="1" t="s">
        <v>17</v>
      </c>
      <c r="D4" s="78">
        <f>Input!$K$12</f>
        <v>1000</v>
      </c>
      <c r="E4" s="3">
        <f>Input!$K$12</f>
        <v>1000</v>
      </c>
      <c r="F4" s="3">
        <f>Input!$K$12</f>
        <v>1000</v>
      </c>
      <c r="G4" s="3">
        <f>Input!$K$12</f>
        <v>1000</v>
      </c>
      <c r="H4" s="3">
        <f>Input!$K$12</f>
        <v>1000</v>
      </c>
      <c r="I4" s="3">
        <f>Input!$K$12</f>
        <v>1000</v>
      </c>
      <c r="J4" s="3">
        <f>Input!$K$12</f>
        <v>1000</v>
      </c>
      <c r="K4" s="3">
        <f>Input!$K$12</f>
        <v>1000</v>
      </c>
      <c r="L4" s="3">
        <f>Input!$K$12</f>
        <v>1000</v>
      </c>
      <c r="M4" s="3">
        <f>Input!$K$12</f>
        <v>1000</v>
      </c>
      <c r="N4" s="3">
        <f>Input!$K$12</f>
        <v>1000</v>
      </c>
      <c r="O4" s="3">
        <f>Input!$K$12</f>
        <v>1000</v>
      </c>
      <c r="P4" s="3">
        <f>Input!$K$12</f>
        <v>1000</v>
      </c>
      <c r="Q4" s="3">
        <f>Input!$K$12</f>
        <v>1000</v>
      </c>
      <c r="R4" s="1" t="s">
        <v>28</v>
      </c>
    </row>
    <row r="5" spans="1:18">
      <c r="A5" s="1">
        <v>3</v>
      </c>
      <c r="C5" s="1" t="s">
        <v>18</v>
      </c>
      <c r="D5" s="79">
        <f>HLOOKUP($D$3,$E$3:$Q$72,$A5,FALSE)</f>
        <v>52</v>
      </c>
      <c r="E5" s="64">
        <v>52</v>
      </c>
      <c r="F5" s="64">
        <v>52</v>
      </c>
      <c r="G5" s="64">
        <v>100</v>
      </c>
      <c r="H5" s="64">
        <v>100</v>
      </c>
      <c r="I5" s="64">
        <v>100</v>
      </c>
      <c r="J5" s="64">
        <v>69</v>
      </c>
      <c r="K5" s="64">
        <v>69</v>
      </c>
      <c r="L5" s="64">
        <v>69</v>
      </c>
      <c r="M5" s="64">
        <v>69</v>
      </c>
      <c r="N5" s="64">
        <v>91</v>
      </c>
      <c r="O5" s="64">
        <v>105</v>
      </c>
      <c r="P5" s="64">
        <v>107</v>
      </c>
      <c r="Q5" s="64">
        <v>107</v>
      </c>
      <c r="R5" s="65" t="s">
        <v>137</v>
      </c>
    </row>
    <row r="6" spans="1:18">
      <c r="A6" s="1">
        <v>4</v>
      </c>
      <c r="B6" s="1" t="s">
        <v>0</v>
      </c>
      <c r="C6" s="1" t="s">
        <v>7</v>
      </c>
      <c r="D6" s="80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" t="s">
        <v>27</v>
      </c>
    </row>
    <row r="7" spans="1:18">
      <c r="A7" s="1">
        <v>5</v>
      </c>
      <c r="C7" s="1" t="s">
        <v>2</v>
      </c>
      <c r="D7" s="100">
        <f>Input!$K$15</f>
        <v>55</v>
      </c>
      <c r="E7" s="61">
        <f>VLOOKUP(E$3,Table!$D$1:$E$24,2,FALSE)</f>
        <v>55</v>
      </c>
      <c r="F7" s="61">
        <f>VLOOKUP(F$3,Table!$D$1:$E$24,2,FALSE)</f>
        <v>55</v>
      </c>
      <c r="G7" s="61">
        <f>VLOOKUP(G$3,Table!$D$1:$E$24,2,FALSE)</f>
        <v>130</v>
      </c>
      <c r="H7" s="61">
        <f>VLOOKUP(H$3,Table!$D$1:$E$24,2,FALSE)</f>
        <v>300</v>
      </c>
      <c r="I7" s="61">
        <f>VLOOKUP(I$3,Table!$D$1:$E$24,2,FALSE)</f>
        <v>300</v>
      </c>
      <c r="J7" s="61">
        <f>VLOOKUP(J$3,Table!$D$1:$E$24,2,FALSE)</f>
        <v>300</v>
      </c>
      <c r="K7" s="61">
        <f>VLOOKUP(K$3,Table!$D$1:$E$24,2,FALSE)</f>
        <v>300</v>
      </c>
      <c r="L7" s="61">
        <f>VLOOKUP(L$3,Table!$D$1:$E$24,2,FALSE)</f>
        <v>300</v>
      </c>
      <c r="M7" s="61">
        <f>VLOOKUP(M$3,Table!$D$1:$E$24,2,FALSE)</f>
        <v>300</v>
      </c>
      <c r="N7" s="61">
        <f>VLOOKUP(N$3,Table!$D$1:$E$24,2,FALSE)</f>
        <v>700</v>
      </c>
      <c r="O7" s="61">
        <f>VLOOKUP(O$3,Table!$D$1:$E$24,2,FALSE)</f>
        <v>700</v>
      </c>
      <c r="P7" s="61">
        <f>VLOOKUP(P$3,Table!$D$1:$E$24,2,FALSE)</f>
        <v>700</v>
      </c>
      <c r="Q7" s="61">
        <f>VLOOKUP(Q$3,Table!$D$1:$E$24,2,FALSE)</f>
        <v>700</v>
      </c>
      <c r="R7" s="1" t="s">
        <v>27</v>
      </c>
    </row>
    <row r="8" spans="1:18">
      <c r="A8" s="1">
        <v>6</v>
      </c>
      <c r="C8" s="1" t="s">
        <v>3</v>
      </c>
      <c r="D8" s="78">
        <f>Input!$K$16</f>
        <v>152</v>
      </c>
      <c r="E8" s="3">
        <f>Input!$K$16</f>
        <v>152</v>
      </c>
      <c r="F8" s="3">
        <f>Input!$K$16</f>
        <v>152</v>
      </c>
      <c r="G8" s="3">
        <f>Input!$K$16</f>
        <v>152</v>
      </c>
      <c r="H8" s="3">
        <f>Input!$K$16</f>
        <v>152</v>
      </c>
      <c r="I8" s="3">
        <f>Input!$K$16</f>
        <v>152</v>
      </c>
      <c r="J8" s="3">
        <f>Input!$K$16</f>
        <v>152</v>
      </c>
      <c r="K8" s="3">
        <f>Input!$K$16</f>
        <v>152</v>
      </c>
      <c r="L8" s="3">
        <f>Input!$K$16</f>
        <v>152</v>
      </c>
      <c r="M8" s="3">
        <f>Input!$K$16</f>
        <v>152</v>
      </c>
      <c r="N8" s="3">
        <f>Input!$K$16</f>
        <v>152</v>
      </c>
      <c r="O8" s="3">
        <f>Input!$K$16</f>
        <v>152</v>
      </c>
      <c r="P8" s="3">
        <f>Input!$K$16</f>
        <v>152</v>
      </c>
      <c r="Q8" s="3">
        <f>Input!$K$16</f>
        <v>152</v>
      </c>
      <c r="R8" s="1" t="s">
        <v>28</v>
      </c>
    </row>
    <row r="9" spans="1:18">
      <c r="A9" s="1">
        <v>7</v>
      </c>
      <c r="C9" s="1" t="s">
        <v>4</v>
      </c>
      <c r="D9" s="81">
        <f>D8/D7</f>
        <v>2.7636363636363637</v>
      </c>
      <c r="E9" s="66">
        <f t="shared" ref="E9:F9" si="0">E8/E7</f>
        <v>2.7636363636363637</v>
      </c>
      <c r="F9" s="66">
        <f t="shared" si="0"/>
        <v>2.7636363636363637</v>
      </c>
      <c r="G9" s="66">
        <f>G8/G7</f>
        <v>1.1692307692307693</v>
      </c>
      <c r="H9" s="66">
        <f t="shared" ref="H9:Q9" si="1">H8/H7</f>
        <v>0.50666666666666671</v>
      </c>
      <c r="I9" s="66">
        <f t="shared" si="1"/>
        <v>0.50666666666666671</v>
      </c>
      <c r="J9" s="66">
        <f t="shared" ref="J9" si="2">J8/J7</f>
        <v>0.50666666666666671</v>
      </c>
      <c r="K9" s="66">
        <f t="shared" si="1"/>
        <v>0.50666666666666671</v>
      </c>
      <c r="L9" s="66">
        <f t="shared" si="1"/>
        <v>0.50666666666666671</v>
      </c>
      <c r="M9" s="66">
        <f t="shared" si="1"/>
        <v>0.50666666666666671</v>
      </c>
      <c r="N9" s="66">
        <f t="shared" ref="N9" si="3">N8/N7</f>
        <v>0.21714285714285714</v>
      </c>
      <c r="O9" s="66">
        <f t="shared" si="1"/>
        <v>0.21714285714285714</v>
      </c>
      <c r="P9" s="66">
        <f t="shared" si="1"/>
        <v>0.21714285714285714</v>
      </c>
      <c r="Q9" s="66">
        <f t="shared" si="1"/>
        <v>0.21714285714285714</v>
      </c>
      <c r="R9" s="1" t="s">
        <v>138</v>
      </c>
    </row>
    <row r="10" spans="1:18">
      <c r="A10" s="1">
        <v>8</v>
      </c>
      <c r="C10" s="1" t="s">
        <v>41</v>
      </c>
      <c r="D10" s="82" t="str">
        <f>Input!$K$17</f>
        <v>24''/A1</v>
      </c>
      <c r="E10" s="4" t="str">
        <f>Input!$K$17</f>
        <v>24''/A1</v>
      </c>
      <c r="F10" s="4" t="str">
        <f>Input!$K$17</f>
        <v>24''/A1</v>
      </c>
      <c r="G10" s="4" t="str">
        <f>Input!$K$17</f>
        <v>24''/A1</v>
      </c>
      <c r="H10" s="4" t="str">
        <f>Input!$K$17</f>
        <v>24''/A1</v>
      </c>
      <c r="I10" s="4" t="str">
        <f>Input!$K$17</f>
        <v>24''/A1</v>
      </c>
      <c r="J10" s="4" t="str">
        <f>Input!$K$17</f>
        <v>24''/A1</v>
      </c>
      <c r="K10" s="4" t="str">
        <f>Input!$K$17</f>
        <v>24''/A1</v>
      </c>
      <c r="L10" s="4" t="str">
        <f>Input!$K$17</f>
        <v>24''/A1</v>
      </c>
      <c r="M10" s="4" t="str">
        <f>Input!$K$17</f>
        <v>24''/A1</v>
      </c>
      <c r="N10" s="4" t="str">
        <f>Input!$K$17</f>
        <v>24''/A1</v>
      </c>
      <c r="O10" s="4" t="str">
        <f>Input!$K$17</f>
        <v>24''/A1</v>
      </c>
      <c r="P10" s="4" t="str">
        <f>Input!$K$17</f>
        <v>24''/A1</v>
      </c>
      <c r="Q10" s="4" t="str">
        <f>Input!$K$17</f>
        <v>24''/A1</v>
      </c>
      <c r="R10" s="1" t="s">
        <v>28</v>
      </c>
    </row>
    <row r="11" spans="1:18">
      <c r="A11" s="1">
        <v>9</v>
      </c>
      <c r="C11" s="1" t="s">
        <v>42</v>
      </c>
      <c r="D11" s="83">
        <f>VLOOKUP(D$10,Table!$A:$B,2,FALSE)</f>
        <v>0.60959999999999992</v>
      </c>
      <c r="E11" s="68">
        <f>VLOOKUP(E$10,Table!$A:$B,2,FALSE)</f>
        <v>0.60959999999999992</v>
      </c>
      <c r="F11" s="68">
        <f>VLOOKUP(F$10,Table!$A:$B,2,FALSE)</f>
        <v>0.60959999999999992</v>
      </c>
      <c r="G11" s="68">
        <f>VLOOKUP(G$10,Table!$A:$B,2,FALSE)</f>
        <v>0.60959999999999992</v>
      </c>
      <c r="H11" s="68">
        <f>VLOOKUP(H$10,Table!$A:$B,2,FALSE)</f>
        <v>0.60959999999999992</v>
      </c>
      <c r="I11" s="68">
        <f>VLOOKUP(I$10,Table!$A:$B,2,FALSE)</f>
        <v>0.60959999999999992</v>
      </c>
      <c r="J11" s="68">
        <f>VLOOKUP(J$10,Table!$A:$B,2,FALSE)</f>
        <v>0.60959999999999992</v>
      </c>
      <c r="K11" s="68">
        <f>VLOOKUP(K$10,Table!$A:$B,2,FALSE)</f>
        <v>0.60959999999999992</v>
      </c>
      <c r="L11" s="68">
        <f>VLOOKUP(L$10,Table!$A:$B,2,FALSE)</f>
        <v>0.60959999999999992</v>
      </c>
      <c r="M11" s="68">
        <f>VLOOKUP(M$10,Table!$A:$B,2,FALSE)</f>
        <v>0.60959999999999992</v>
      </c>
      <c r="N11" s="68">
        <f>VLOOKUP(N$10,Table!$A:$B,2,FALSE)</f>
        <v>0.60959999999999992</v>
      </c>
      <c r="O11" s="68">
        <f>VLOOKUP(O$10,Table!$A:$B,2,FALSE)</f>
        <v>0.60959999999999992</v>
      </c>
      <c r="P11" s="68">
        <f>VLOOKUP(P$10,Table!$A:$B,2,FALSE)</f>
        <v>0.60959999999999992</v>
      </c>
      <c r="Q11" s="68">
        <f>VLOOKUP(Q$10,Table!$A:$B,2,FALSE)</f>
        <v>0.60959999999999992</v>
      </c>
      <c r="R11" s="69" t="s">
        <v>138</v>
      </c>
    </row>
    <row r="12" spans="1:18">
      <c r="A12" s="1">
        <v>10</v>
      </c>
      <c r="C12" s="1" t="s">
        <v>5</v>
      </c>
      <c r="D12" s="84">
        <f>Input!$K$18</f>
        <v>30</v>
      </c>
      <c r="E12" s="6">
        <f>Input!$K$18</f>
        <v>30</v>
      </c>
      <c r="F12" s="6">
        <f>Input!$K$18</f>
        <v>30</v>
      </c>
      <c r="G12" s="6">
        <f>Input!$K$18</f>
        <v>30</v>
      </c>
      <c r="H12" s="6">
        <f>Input!$K$18</f>
        <v>30</v>
      </c>
      <c r="I12" s="6">
        <f>Input!$K$18</f>
        <v>30</v>
      </c>
      <c r="J12" s="6">
        <f>Input!$K$18</f>
        <v>30</v>
      </c>
      <c r="K12" s="6">
        <f>Input!$K$18</f>
        <v>30</v>
      </c>
      <c r="L12" s="6">
        <f>Input!$K$18</f>
        <v>30</v>
      </c>
      <c r="M12" s="6">
        <f>Input!$K$18</f>
        <v>30</v>
      </c>
      <c r="N12" s="6">
        <f>Input!$K$18</f>
        <v>30</v>
      </c>
      <c r="O12" s="6">
        <f>Input!$K$18</f>
        <v>30</v>
      </c>
      <c r="P12" s="6">
        <f>Input!$K$18</f>
        <v>30</v>
      </c>
      <c r="Q12" s="6">
        <f>Input!$K$18</f>
        <v>30</v>
      </c>
      <c r="R12" s="1" t="s">
        <v>28</v>
      </c>
    </row>
    <row r="13" spans="1:18">
      <c r="A13" s="1">
        <v>11</v>
      </c>
      <c r="C13" s="1" t="s">
        <v>56</v>
      </c>
      <c r="D13" s="85">
        <f>HLOOKUP($D$3,$E$3:$Q$72,$A13,FALSE)</f>
        <v>0.05</v>
      </c>
      <c r="E13" s="62">
        <v>0.05</v>
      </c>
      <c r="F13" s="62">
        <v>0.05</v>
      </c>
      <c r="G13" s="62">
        <v>0.05</v>
      </c>
      <c r="H13" s="62">
        <v>0.05</v>
      </c>
      <c r="I13" s="62">
        <v>0.05</v>
      </c>
      <c r="J13" s="62">
        <v>0.05</v>
      </c>
      <c r="K13" s="62">
        <v>0.05</v>
      </c>
      <c r="L13" s="62">
        <v>0.05</v>
      </c>
      <c r="M13" s="62">
        <v>0.05</v>
      </c>
      <c r="N13" s="62">
        <v>0.05</v>
      </c>
      <c r="O13" s="62">
        <v>0.05</v>
      </c>
      <c r="P13" s="62">
        <v>0.05</v>
      </c>
      <c r="Q13" s="62">
        <v>0.05</v>
      </c>
      <c r="R13" s="1" t="s">
        <v>136</v>
      </c>
    </row>
    <row r="14" spans="1:18">
      <c r="A14" s="1">
        <v>12</v>
      </c>
      <c r="C14" s="1" t="s">
        <v>139</v>
      </c>
      <c r="D14" s="86">
        <f>D11*D12*(1-D13)</f>
        <v>17.373599999999996</v>
      </c>
      <c r="E14" s="63">
        <f t="shared" ref="E14:F14" si="4">E11*E12*(1-E13)</f>
        <v>17.373599999999996</v>
      </c>
      <c r="F14" s="63">
        <f t="shared" si="4"/>
        <v>17.373599999999996</v>
      </c>
      <c r="G14" s="63">
        <f>G11*G12*(1-G13)</f>
        <v>17.373599999999996</v>
      </c>
      <c r="H14" s="63">
        <f t="shared" ref="H14:Q14" si="5">H11*H12*(1-H13)</f>
        <v>17.373599999999996</v>
      </c>
      <c r="I14" s="63">
        <f t="shared" si="5"/>
        <v>17.373599999999996</v>
      </c>
      <c r="J14" s="63">
        <f t="shared" ref="J14" si="6">J11*J12*(1-J13)</f>
        <v>17.373599999999996</v>
      </c>
      <c r="K14" s="63">
        <f t="shared" si="5"/>
        <v>17.373599999999996</v>
      </c>
      <c r="L14" s="63">
        <f t="shared" si="5"/>
        <v>17.373599999999996</v>
      </c>
      <c r="M14" s="63">
        <f t="shared" si="5"/>
        <v>17.373599999999996</v>
      </c>
      <c r="N14" s="63">
        <f t="shared" ref="N14" si="7">N11*N12*(1-N13)</f>
        <v>17.373599999999996</v>
      </c>
      <c r="O14" s="63">
        <f t="shared" si="5"/>
        <v>17.373599999999996</v>
      </c>
      <c r="P14" s="63">
        <f t="shared" si="5"/>
        <v>17.373599999999996</v>
      </c>
      <c r="Q14" s="63">
        <f t="shared" si="5"/>
        <v>17.373599999999996</v>
      </c>
      <c r="R14" s="1" t="s">
        <v>138</v>
      </c>
    </row>
    <row r="15" spans="1:18">
      <c r="A15" s="1">
        <v>13</v>
      </c>
      <c r="C15" s="1" t="s">
        <v>6</v>
      </c>
      <c r="D15" s="78">
        <f>Input!$K$19</f>
        <v>50.1</v>
      </c>
      <c r="E15" s="3">
        <f>Input!$K$19</f>
        <v>50.1</v>
      </c>
      <c r="F15" s="3">
        <f>Input!$K$19</f>
        <v>50.1</v>
      </c>
      <c r="G15" s="3">
        <f>Input!$K$19</f>
        <v>50.1</v>
      </c>
      <c r="H15" s="3">
        <f>Input!$K$19</f>
        <v>50.1</v>
      </c>
      <c r="I15" s="3">
        <f>Input!$K$19</f>
        <v>50.1</v>
      </c>
      <c r="J15" s="3">
        <f>Input!$K$19</f>
        <v>50.1</v>
      </c>
      <c r="K15" s="3">
        <f>Input!$K$19</f>
        <v>50.1</v>
      </c>
      <c r="L15" s="3">
        <f>Input!$K$19</f>
        <v>50.1</v>
      </c>
      <c r="M15" s="3">
        <f>Input!$K$19</f>
        <v>50.1</v>
      </c>
      <c r="N15" s="3">
        <f>Input!$K$19</f>
        <v>50.1</v>
      </c>
      <c r="O15" s="3">
        <f>Input!$K$19</f>
        <v>50.1</v>
      </c>
      <c r="P15" s="3">
        <f>Input!$K$19</f>
        <v>50.1</v>
      </c>
      <c r="Q15" s="3">
        <f>Input!$K$19</f>
        <v>50.1</v>
      </c>
      <c r="R15" s="1" t="s">
        <v>28</v>
      </c>
    </row>
    <row r="16" spans="1:18">
      <c r="A16" s="1">
        <v>14</v>
      </c>
      <c r="C16" s="1" t="s">
        <v>44</v>
      </c>
      <c r="D16" s="81">
        <f>D15/D14</f>
        <v>2.8836855919325881</v>
      </c>
      <c r="E16" s="66">
        <f t="shared" ref="E16:F16" si="8">E15/E14</f>
        <v>2.8836855919325881</v>
      </c>
      <c r="F16" s="66">
        <f t="shared" si="8"/>
        <v>2.8836855919325881</v>
      </c>
      <c r="G16" s="66">
        <f>G15/G14</f>
        <v>2.8836855919325881</v>
      </c>
      <c r="H16" s="66">
        <f t="shared" ref="H16:Q16" si="9">H15/H14</f>
        <v>2.8836855919325881</v>
      </c>
      <c r="I16" s="66">
        <f t="shared" si="9"/>
        <v>2.8836855919325881</v>
      </c>
      <c r="J16" s="66">
        <f t="shared" ref="J16" si="10">J15/J14</f>
        <v>2.8836855919325881</v>
      </c>
      <c r="K16" s="66">
        <f t="shared" si="9"/>
        <v>2.8836855919325881</v>
      </c>
      <c r="L16" s="66">
        <f t="shared" si="9"/>
        <v>2.8836855919325881</v>
      </c>
      <c r="M16" s="66">
        <f t="shared" si="9"/>
        <v>2.8836855919325881</v>
      </c>
      <c r="N16" s="66">
        <f t="shared" ref="N16" si="11">N15/N14</f>
        <v>2.8836855919325881</v>
      </c>
      <c r="O16" s="66">
        <f t="shared" si="9"/>
        <v>2.8836855919325881</v>
      </c>
      <c r="P16" s="66">
        <f t="shared" si="9"/>
        <v>2.8836855919325881</v>
      </c>
      <c r="Q16" s="66">
        <f t="shared" si="9"/>
        <v>2.8836855919325881</v>
      </c>
      <c r="R16" s="1" t="s">
        <v>138</v>
      </c>
    </row>
    <row r="17" spans="1:18">
      <c r="A17" s="1">
        <v>15</v>
      </c>
      <c r="C17" s="1" t="s">
        <v>8</v>
      </c>
      <c r="D17" s="78">
        <f>Input!$K$21</f>
        <v>83.1</v>
      </c>
      <c r="E17" s="3">
        <f>Input!$K$21</f>
        <v>83.1</v>
      </c>
      <c r="F17" s="3">
        <f>Input!$K$21</f>
        <v>83.1</v>
      </c>
      <c r="G17" s="3">
        <f>Input!$K$21</f>
        <v>83.1</v>
      </c>
      <c r="H17" s="3">
        <f>Input!$K$21</f>
        <v>83.1</v>
      </c>
      <c r="I17" s="3">
        <f>Input!$K$21</f>
        <v>83.1</v>
      </c>
      <c r="J17" s="3">
        <f>Input!$K$21</f>
        <v>83.1</v>
      </c>
      <c r="K17" s="3">
        <f>Input!$K$21</f>
        <v>83.1</v>
      </c>
      <c r="L17" s="3">
        <f>Input!$K$21</f>
        <v>83.1</v>
      </c>
      <c r="M17" s="3">
        <f>Input!$K$21</f>
        <v>83.1</v>
      </c>
      <c r="N17" s="3">
        <f>Input!$K$21</f>
        <v>83.1</v>
      </c>
      <c r="O17" s="3">
        <f>Input!$K$21</f>
        <v>83.1</v>
      </c>
      <c r="P17" s="3">
        <f>Input!$K$21</f>
        <v>83.1</v>
      </c>
      <c r="Q17" s="3">
        <f>Input!$K$21</f>
        <v>83.1</v>
      </c>
      <c r="R17" s="1" t="s">
        <v>28</v>
      </c>
    </row>
    <row r="18" spans="1:18">
      <c r="A18" s="1">
        <v>16</v>
      </c>
      <c r="C18" s="7" t="s">
        <v>146</v>
      </c>
      <c r="D18" s="87">
        <f>HLOOKUP($D$3,$E$3:$Q$72,$A18,FALSE)</f>
        <v>7000</v>
      </c>
      <c r="E18" s="67">
        <v>7000</v>
      </c>
      <c r="F18" s="67">
        <v>7000</v>
      </c>
      <c r="G18" s="67">
        <v>1500</v>
      </c>
      <c r="H18" s="67">
        <v>1500</v>
      </c>
      <c r="I18" s="67">
        <v>1500</v>
      </c>
      <c r="J18" s="67">
        <v>3400</v>
      </c>
      <c r="K18" s="67">
        <v>3400</v>
      </c>
      <c r="L18" s="67">
        <v>3400</v>
      </c>
      <c r="M18" s="67">
        <v>3400</v>
      </c>
      <c r="N18" s="67">
        <v>3400</v>
      </c>
      <c r="O18" s="67">
        <v>3400</v>
      </c>
      <c r="P18" s="67">
        <v>3400</v>
      </c>
      <c r="Q18" s="67">
        <v>1500</v>
      </c>
      <c r="R18" s="65" t="s">
        <v>137</v>
      </c>
    </row>
    <row r="19" spans="1:18">
      <c r="A19" s="1">
        <v>17</v>
      </c>
      <c r="C19" s="1" t="s">
        <v>148</v>
      </c>
      <c r="D19" s="81">
        <f>D17/D18</f>
        <v>1.1871428571428571E-2</v>
      </c>
      <c r="E19" s="66">
        <f t="shared" ref="E19:F19" si="12">E17/E18</f>
        <v>1.1871428571428571E-2</v>
      </c>
      <c r="F19" s="66">
        <f t="shared" si="12"/>
        <v>1.1871428571428571E-2</v>
      </c>
      <c r="G19" s="66">
        <f>G17/G18</f>
        <v>5.5399999999999998E-2</v>
      </c>
      <c r="H19" s="66">
        <f t="shared" ref="H19:Q19" si="13">H17/H18</f>
        <v>5.5399999999999998E-2</v>
      </c>
      <c r="I19" s="66">
        <f t="shared" si="13"/>
        <v>5.5399999999999998E-2</v>
      </c>
      <c r="J19" s="66">
        <f>J17/J18</f>
        <v>2.4441176470588234E-2</v>
      </c>
      <c r="K19" s="66">
        <f>K17/K18</f>
        <v>2.4441176470588234E-2</v>
      </c>
      <c r="L19" s="66">
        <f t="shared" si="13"/>
        <v>2.4441176470588234E-2</v>
      </c>
      <c r="M19" s="66">
        <f t="shared" si="13"/>
        <v>2.4441176470588234E-2</v>
      </c>
      <c r="N19" s="66">
        <f t="shared" ref="N19" si="14">N17/N18</f>
        <v>2.4441176470588234E-2</v>
      </c>
      <c r="O19" s="66">
        <f t="shared" si="13"/>
        <v>2.4441176470588234E-2</v>
      </c>
      <c r="P19" s="66">
        <f t="shared" si="13"/>
        <v>2.4441176470588234E-2</v>
      </c>
      <c r="Q19" s="66">
        <f t="shared" si="13"/>
        <v>5.5399999999999998E-2</v>
      </c>
      <c r="R19" s="1" t="s">
        <v>138</v>
      </c>
    </row>
    <row r="20" spans="1:18">
      <c r="A20" s="1">
        <v>18</v>
      </c>
      <c r="C20" s="1" t="s">
        <v>9</v>
      </c>
      <c r="D20" s="78">
        <f>Input!$K$20</f>
        <v>448</v>
      </c>
      <c r="E20" s="3">
        <f>Input!$K$20</f>
        <v>448</v>
      </c>
      <c r="F20" s="3">
        <f>Input!$K$20</f>
        <v>448</v>
      </c>
      <c r="G20" s="3">
        <f>Input!$K$20</f>
        <v>448</v>
      </c>
      <c r="H20" s="3">
        <f>Input!$K$20</f>
        <v>448</v>
      </c>
      <c r="I20" s="3">
        <f>Input!$K$20</f>
        <v>448</v>
      </c>
      <c r="J20" s="3">
        <f>Input!$K$20</f>
        <v>448</v>
      </c>
      <c r="K20" s="3">
        <f>Input!$K$20</f>
        <v>448</v>
      </c>
      <c r="L20" s="3">
        <f>Input!$K$20</f>
        <v>448</v>
      </c>
      <c r="M20" s="3">
        <f>Input!$K$20</f>
        <v>448</v>
      </c>
      <c r="N20" s="3">
        <f>Input!$K$20</f>
        <v>448</v>
      </c>
      <c r="O20" s="3">
        <f>Input!$K$20</f>
        <v>448</v>
      </c>
      <c r="P20" s="3">
        <f>Input!$K$20</f>
        <v>448</v>
      </c>
      <c r="Q20" s="3">
        <f>Input!$K$20</f>
        <v>448</v>
      </c>
      <c r="R20" s="1" t="s">
        <v>28</v>
      </c>
    </row>
    <row r="21" spans="1:18">
      <c r="A21" s="1">
        <v>19</v>
      </c>
      <c r="C21" s="1" t="s">
        <v>149</v>
      </c>
      <c r="D21" s="92">
        <f>HLOOKUP($D$3,$E$3:$Q$72,$A21,FALSE)</f>
        <v>4000</v>
      </c>
      <c r="E21" s="181">
        <v>4000</v>
      </c>
      <c r="F21" s="181">
        <v>4000</v>
      </c>
      <c r="G21" s="181">
        <v>4000</v>
      </c>
      <c r="H21" s="181">
        <v>4000</v>
      </c>
      <c r="I21" s="181">
        <v>4000</v>
      </c>
      <c r="J21" s="181">
        <v>4000</v>
      </c>
      <c r="K21" s="181">
        <v>4000</v>
      </c>
      <c r="L21" s="181">
        <v>4000</v>
      </c>
      <c r="M21" s="181">
        <v>4000</v>
      </c>
      <c r="N21" s="181">
        <v>4000</v>
      </c>
      <c r="O21" s="181">
        <v>4000</v>
      </c>
      <c r="P21" s="181">
        <v>4000</v>
      </c>
      <c r="Q21" s="181">
        <v>4000</v>
      </c>
      <c r="R21" s="65" t="s">
        <v>748</v>
      </c>
    </row>
    <row r="22" spans="1:18">
      <c r="A22" s="1">
        <v>20</v>
      </c>
      <c r="C22" s="1" t="s">
        <v>747</v>
      </c>
      <c r="D22" s="81">
        <f>D20/D21</f>
        <v>0.112</v>
      </c>
      <c r="E22" s="66">
        <f t="shared" ref="E22:F22" si="15">E20/E21</f>
        <v>0.112</v>
      </c>
      <c r="F22" s="66">
        <f t="shared" si="15"/>
        <v>0.112</v>
      </c>
      <c r="G22" s="66">
        <f>G20/G21</f>
        <v>0.112</v>
      </c>
      <c r="H22" s="66">
        <f t="shared" ref="H22:Q22" si="16">H20/H21</f>
        <v>0.112</v>
      </c>
      <c r="I22" s="66">
        <f t="shared" si="16"/>
        <v>0.112</v>
      </c>
      <c r="J22" s="66">
        <f t="shared" ref="J22" si="17">J20/J21</f>
        <v>0.112</v>
      </c>
      <c r="K22" s="66">
        <f>K20/K21</f>
        <v>0.112</v>
      </c>
      <c r="L22" s="66">
        <f t="shared" si="16"/>
        <v>0.112</v>
      </c>
      <c r="M22" s="66">
        <f t="shared" si="16"/>
        <v>0.112</v>
      </c>
      <c r="N22" s="66">
        <f t="shared" ref="N22" si="18">N20/N21</f>
        <v>0.112</v>
      </c>
      <c r="O22" s="66">
        <f t="shared" si="16"/>
        <v>0.112</v>
      </c>
      <c r="P22" s="66">
        <f t="shared" si="16"/>
        <v>0.112</v>
      </c>
      <c r="Q22" s="66">
        <f t="shared" si="16"/>
        <v>0.112</v>
      </c>
      <c r="R22" s="1" t="s">
        <v>138</v>
      </c>
    </row>
    <row r="23" spans="1:18">
      <c r="A23" s="1">
        <v>21</v>
      </c>
      <c r="C23" s="1" t="s">
        <v>50</v>
      </c>
      <c r="D23" s="88">
        <f>HLOOKUP($D$3,$E$3:$Q$72,$A23,FALSE)</f>
        <v>0.125</v>
      </c>
      <c r="E23" s="107">
        <v>0.125</v>
      </c>
      <c r="F23" s="107">
        <v>0.125</v>
      </c>
      <c r="G23" s="107">
        <v>0.125</v>
      </c>
      <c r="H23" s="107">
        <v>0.1</v>
      </c>
      <c r="I23" s="107">
        <v>0.16</v>
      </c>
      <c r="J23" s="107">
        <v>0.125</v>
      </c>
      <c r="K23" s="107">
        <v>0.125</v>
      </c>
      <c r="L23" s="107">
        <v>0.125</v>
      </c>
      <c r="M23" s="107">
        <v>0.125</v>
      </c>
      <c r="N23" s="107">
        <v>0.125</v>
      </c>
      <c r="O23" s="107">
        <v>0.125</v>
      </c>
      <c r="P23" s="107">
        <v>0.125</v>
      </c>
      <c r="Q23" s="107">
        <v>0.16</v>
      </c>
      <c r="R23" s="1" t="s">
        <v>754</v>
      </c>
    </row>
    <row r="24" spans="1:18">
      <c r="A24" s="1">
        <v>22</v>
      </c>
      <c r="C24" s="1" t="s">
        <v>150</v>
      </c>
      <c r="D24" s="88" t="str">
        <f>HLOOKUP($D$3,$E$3:$Q$72,$A24,FALSE)</f>
        <v>A1</v>
      </c>
      <c r="E24" s="107" t="s">
        <v>22</v>
      </c>
      <c r="F24" s="107" t="s">
        <v>22</v>
      </c>
      <c r="G24" s="107" t="s">
        <v>22</v>
      </c>
      <c r="H24" s="107" t="s">
        <v>22</v>
      </c>
      <c r="I24" s="107" t="s">
        <v>22</v>
      </c>
      <c r="J24" s="107" t="s">
        <v>22</v>
      </c>
      <c r="K24" s="107" t="s">
        <v>22</v>
      </c>
      <c r="L24" s="107" t="s">
        <v>22</v>
      </c>
      <c r="M24" s="107" t="s">
        <v>22</v>
      </c>
      <c r="N24" s="107" t="s">
        <v>22</v>
      </c>
      <c r="O24" s="107" t="s">
        <v>22</v>
      </c>
      <c r="P24" s="107" t="s">
        <v>22</v>
      </c>
      <c r="Q24" s="107" t="s">
        <v>48</v>
      </c>
    </row>
    <row r="25" spans="1:18">
      <c r="A25" s="1">
        <v>23</v>
      </c>
      <c r="C25" s="1" t="s">
        <v>147</v>
      </c>
      <c r="D25" s="86">
        <f>HLOOKUP($D$3,$E$3:$Q$72,$A25,FALSE)</f>
        <v>0.49955399999999994</v>
      </c>
      <c r="E25" s="5">
        <f>VLOOKUP(E$24,Table!$H:$I,2,FALSE)</f>
        <v>0.49955399999999994</v>
      </c>
      <c r="F25" s="5">
        <f>VLOOKUP(F$24,Table!$H:$I,2,FALSE)</f>
        <v>0.49955399999999994</v>
      </c>
      <c r="G25" s="5">
        <f>VLOOKUP(G$24,Table!$H:$I,2,FALSE)</f>
        <v>0.49955399999999994</v>
      </c>
      <c r="H25" s="5">
        <f>VLOOKUP(H$24,Table!$H:$I,2,FALSE)</f>
        <v>0.49955399999999994</v>
      </c>
      <c r="I25" s="5">
        <f>VLOOKUP(I$24,Table!$H:$I,2,FALSE)</f>
        <v>0.49955399999999994</v>
      </c>
      <c r="J25" s="5">
        <f>VLOOKUP(J$24,Table!$H:$I,2,FALSE)</f>
        <v>0.49955399999999994</v>
      </c>
      <c r="K25" s="5">
        <f>VLOOKUP(K$24,Table!$H:$I,2,FALSE)</f>
        <v>0.49955399999999994</v>
      </c>
      <c r="L25" s="5">
        <f>VLOOKUP(L$24,Table!$H:$I,2,FALSE)</f>
        <v>0.49955399999999994</v>
      </c>
      <c r="M25" s="5">
        <f>VLOOKUP(M$24,Table!$H:$I,2,FALSE)</f>
        <v>0.49955399999999994</v>
      </c>
      <c r="N25" s="5">
        <f>VLOOKUP(N$24,Table!$H:$I,2,FALSE)</f>
        <v>0.49955399999999994</v>
      </c>
      <c r="O25" s="5">
        <f>VLOOKUP(O$24,Table!$H:$I,2,FALSE)</f>
        <v>0.49955399999999994</v>
      </c>
      <c r="P25" s="5">
        <f>VLOOKUP(P$24,Table!$H:$I,2,FALSE)</f>
        <v>0.49955399999999994</v>
      </c>
      <c r="Q25" s="5">
        <f>VLOOKUP(Q$24,Table!$H:$I,2,FALSE)</f>
        <v>0.99994899999999998</v>
      </c>
    </row>
    <row r="26" spans="1:18">
      <c r="A26" s="1">
        <v>24</v>
      </c>
      <c r="B26" s="1" t="s">
        <v>1</v>
      </c>
      <c r="C26" s="1" t="s">
        <v>10</v>
      </c>
      <c r="D26" s="78">
        <f>Input!$K$22</f>
        <v>460</v>
      </c>
      <c r="E26" s="3">
        <f>Input!$K$22</f>
        <v>460</v>
      </c>
      <c r="F26" s="3">
        <f>Input!$K$22</f>
        <v>460</v>
      </c>
      <c r="G26" s="3">
        <f>Input!$K$22</f>
        <v>460</v>
      </c>
      <c r="H26" s="3">
        <f>Input!$K$22</f>
        <v>460</v>
      </c>
      <c r="I26" s="3">
        <f>Input!$K$22</f>
        <v>460</v>
      </c>
      <c r="J26" s="3">
        <f>Input!$K$22</f>
        <v>460</v>
      </c>
      <c r="K26" s="3">
        <f>Input!$K$22</f>
        <v>460</v>
      </c>
      <c r="L26" s="3">
        <f>Input!$K$22</f>
        <v>460</v>
      </c>
      <c r="M26" s="3">
        <f>Input!$K$22</f>
        <v>460</v>
      </c>
      <c r="N26" s="3">
        <f>Input!$K$22</f>
        <v>460</v>
      </c>
      <c r="O26" s="3">
        <f>Input!$K$22</f>
        <v>460</v>
      </c>
      <c r="P26" s="3">
        <f>Input!$K$22</f>
        <v>460</v>
      </c>
      <c r="Q26" s="3">
        <f>Input!$K$22</f>
        <v>460</v>
      </c>
      <c r="R26" s="1" t="s">
        <v>28</v>
      </c>
    </row>
    <row r="27" spans="1:18">
      <c r="A27" s="1">
        <v>25</v>
      </c>
      <c r="C27" s="1" t="s">
        <v>30</v>
      </c>
      <c r="D27" s="89">
        <f>Input!$K$23*12</f>
        <v>36</v>
      </c>
      <c r="E27" s="8">
        <f>Input!$K$23*12</f>
        <v>36</v>
      </c>
      <c r="F27" s="8">
        <f>Input!$K$23*12</f>
        <v>36</v>
      </c>
      <c r="G27" s="8">
        <f>Input!$K$23*12</f>
        <v>36</v>
      </c>
      <c r="H27" s="8">
        <f>Input!$K$23*12</f>
        <v>36</v>
      </c>
      <c r="I27" s="8">
        <f>Input!$K$23*12</f>
        <v>36</v>
      </c>
      <c r="J27" s="8">
        <f>Input!$K$23*12</f>
        <v>36</v>
      </c>
      <c r="K27" s="8">
        <f>Input!$K$23*12</f>
        <v>36</v>
      </c>
      <c r="L27" s="8">
        <f>Input!$K$23*12</f>
        <v>36</v>
      </c>
      <c r="M27" s="8">
        <f>Input!$K$23*12</f>
        <v>36</v>
      </c>
      <c r="N27" s="8">
        <f>Input!$K$23*12</f>
        <v>36</v>
      </c>
      <c r="O27" s="8">
        <f>Input!$K$23*12</f>
        <v>36</v>
      </c>
      <c r="P27" s="8">
        <f>Input!$K$23*12</f>
        <v>36</v>
      </c>
      <c r="Q27" s="8">
        <f>Input!$K$23*12</f>
        <v>36</v>
      </c>
      <c r="R27" s="1" t="s">
        <v>28</v>
      </c>
    </row>
    <row r="28" spans="1:18">
      <c r="A28" s="143">
        <v>26</v>
      </c>
      <c r="B28" s="143"/>
      <c r="C28" s="143" t="s">
        <v>11</v>
      </c>
      <c r="D28" s="144">
        <f>D26/D27</f>
        <v>12.777777777777779</v>
      </c>
      <c r="E28" s="145">
        <f t="shared" ref="E28:F28" si="19">E26/E27</f>
        <v>12.777777777777779</v>
      </c>
      <c r="F28" s="145">
        <f t="shared" si="19"/>
        <v>12.777777777777779</v>
      </c>
      <c r="G28" s="145">
        <f>G26/G27</f>
        <v>12.777777777777779</v>
      </c>
      <c r="H28" s="145">
        <f t="shared" ref="H28:Q28" si="20">H26/H27</f>
        <v>12.777777777777779</v>
      </c>
      <c r="I28" s="145">
        <f t="shared" si="20"/>
        <v>12.777777777777779</v>
      </c>
      <c r="J28" s="145">
        <f t="shared" ref="J28" si="21">J26/J27</f>
        <v>12.777777777777779</v>
      </c>
      <c r="K28" s="145">
        <f t="shared" si="20"/>
        <v>12.777777777777779</v>
      </c>
      <c r="L28" s="145">
        <f t="shared" si="20"/>
        <v>12.777777777777779</v>
      </c>
      <c r="M28" s="145">
        <f t="shared" si="20"/>
        <v>12.777777777777779</v>
      </c>
      <c r="N28" s="145">
        <f t="shared" ref="N28" si="22">N26/N27</f>
        <v>12.777777777777779</v>
      </c>
      <c r="O28" s="145">
        <f t="shared" si="20"/>
        <v>12.777777777777779</v>
      </c>
      <c r="P28" s="145">
        <f t="shared" si="20"/>
        <v>12.777777777777779</v>
      </c>
      <c r="Q28" s="145">
        <f t="shared" si="20"/>
        <v>12.777777777777779</v>
      </c>
      <c r="R28" s="1" t="s">
        <v>138</v>
      </c>
    </row>
    <row r="29" spans="1:18">
      <c r="A29" s="1">
        <v>27</v>
      </c>
      <c r="B29" s="103" t="s">
        <v>145</v>
      </c>
      <c r="C29" s="1" t="s">
        <v>13</v>
      </c>
      <c r="D29" s="121" t="str">
        <f t="shared" ref="D29:D44" si="23">HLOOKUP($D$3,$E$3:$Q$72,$A29,FALSE)</f>
        <v>A1</v>
      </c>
      <c r="E29" s="73" t="s">
        <v>22</v>
      </c>
      <c r="F29" s="73" t="s">
        <v>48</v>
      </c>
      <c r="G29" s="73" t="s">
        <v>22</v>
      </c>
      <c r="H29" s="73" t="s">
        <v>22</v>
      </c>
      <c r="I29" s="73" t="s">
        <v>22</v>
      </c>
      <c r="J29" s="73" t="s">
        <v>22</v>
      </c>
      <c r="K29" s="73" t="s">
        <v>22</v>
      </c>
      <c r="L29" s="73" t="s">
        <v>48</v>
      </c>
      <c r="M29" s="73" t="s">
        <v>48</v>
      </c>
      <c r="N29" s="73" t="s">
        <v>22</v>
      </c>
      <c r="O29" s="73" t="s">
        <v>48</v>
      </c>
      <c r="P29" s="73" t="s">
        <v>48</v>
      </c>
      <c r="Q29" s="73" t="s">
        <v>48</v>
      </c>
      <c r="R29" s="1" t="s">
        <v>136</v>
      </c>
    </row>
    <row r="30" spans="1:18">
      <c r="A30" s="1">
        <v>28</v>
      </c>
      <c r="B30" s="1" t="s">
        <v>178</v>
      </c>
      <c r="C30" s="1" t="s">
        <v>12</v>
      </c>
      <c r="D30" s="122">
        <f t="shared" si="23"/>
        <v>1.357</v>
      </c>
      <c r="E30" s="70">
        <f>J30</f>
        <v>1.357</v>
      </c>
      <c r="F30" s="70">
        <f>L30</f>
        <v>2.6680000000000001</v>
      </c>
      <c r="G30" s="70">
        <v>1.3440000000000001</v>
      </c>
      <c r="H30" s="70">
        <v>1.831</v>
      </c>
      <c r="I30" s="70">
        <v>2.3130000000000002</v>
      </c>
      <c r="J30" s="70">
        <v>1.357</v>
      </c>
      <c r="K30" s="70">
        <v>1.357</v>
      </c>
      <c r="L30" s="70">
        <v>2.6680000000000001</v>
      </c>
      <c r="M30" s="70">
        <v>2.6680000000000001</v>
      </c>
      <c r="N30" s="70">
        <v>1.3169999999999999</v>
      </c>
      <c r="O30" s="70">
        <v>2.67</v>
      </c>
      <c r="P30" s="70">
        <v>2.67</v>
      </c>
      <c r="Q30" s="70">
        <v>3.847</v>
      </c>
      <c r="R30" s="65" t="s">
        <v>137</v>
      </c>
    </row>
    <row r="31" spans="1:18">
      <c r="A31" s="1">
        <v>29</v>
      </c>
      <c r="C31" s="1" t="s">
        <v>24</v>
      </c>
      <c r="D31" s="123">
        <f t="shared" si="23"/>
        <v>106</v>
      </c>
      <c r="E31" s="72">
        <v>106</v>
      </c>
      <c r="F31" s="72">
        <v>190</v>
      </c>
      <c r="G31" s="72">
        <v>96</v>
      </c>
      <c r="H31" s="72">
        <v>105</v>
      </c>
      <c r="I31" s="72">
        <v>116</v>
      </c>
      <c r="J31" s="72">
        <v>82</v>
      </c>
      <c r="K31" s="72">
        <v>82</v>
      </c>
      <c r="L31" s="72">
        <v>156</v>
      </c>
      <c r="M31" s="72">
        <v>156</v>
      </c>
      <c r="N31" s="72">
        <v>88</v>
      </c>
      <c r="O31" s="72">
        <v>157</v>
      </c>
      <c r="P31" s="72">
        <v>157</v>
      </c>
      <c r="Q31" s="72">
        <v>171</v>
      </c>
      <c r="R31" s="65" t="s">
        <v>137</v>
      </c>
    </row>
    <row r="32" spans="1:18">
      <c r="A32" s="1">
        <v>30</v>
      </c>
      <c r="C32" s="1" t="s">
        <v>49</v>
      </c>
      <c r="D32" s="124">
        <f t="shared" si="23"/>
        <v>0.31874999999999998</v>
      </c>
      <c r="E32" s="107">
        <f t="shared" ref="E32:F32" si="24">E$23*2.55</f>
        <v>0.31874999999999998</v>
      </c>
      <c r="F32" s="107">
        <f t="shared" si="24"/>
        <v>0.31874999999999998</v>
      </c>
      <c r="G32" s="107">
        <f>G$23*2.55</f>
        <v>0.31874999999999998</v>
      </c>
      <c r="H32" s="107">
        <f t="shared" ref="H32:P32" si="25">H$23*2.55</f>
        <v>0.255</v>
      </c>
      <c r="I32" s="107">
        <f t="shared" si="25"/>
        <v>0.40799999999999997</v>
      </c>
      <c r="J32" s="107">
        <f t="shared" si="25"/>
        <v>0.31874999999999998</v>
      </c>
      <c r="K32" s="107">
        <f t="shared" si="25"/>
        <v>0.31874999999999998</v>
      </c>
      <c r="L32" s="107">
        <f t="shared" si="25"/>
        <v>0.31874999999999998</v>
      </c>
      <c r="M32" s="107">
        <f t="shared" si="25"/>
        <v>0.31874999999999998</v>
      </c>
      <c r="N32" s="107">
        <f t="shared" si="25"/>
        <v>0.31874999999999998</v>
      </c>
      <c r="O32" s="107">
        <f t="shared" si="25"/>
        <v>0.31874999999999998</v>
      </c>
      <c r="P32" s="107">
        <f t="shared" si="25"/>
        <v>0.31874999999999998</v>
      </c>
      <c r="Q32" s="107">
        <f>Q$23*5</f>
        <v>0.8</v>
      </c>
      <c r="R32" s="65"/>
    </row>
    <row r="33" spans="1:18">
      <c r="A33" s="1">
        <v>31</v>
      </c>
      <c r="B33" s="103" t="s">
        <v>144</v>
      </c>
      <c r="C33" s="1" t="s">
        <v>13</v>
      </c>
      <c r="D33" s="121" t="str">
        <f t="shared" si="23"/>
        <v>A1</v>
      </c>
      <c r="E33" s="73" t="s">
        <v>22</v>
      </c>
      <c r="F33" s="73" t="s">
        <v>48</v>
      </c>
      <c r="G33" s="73" t="s">
        <v>22</v>
      </c>
      <c r="H33" s="74"/>
      <c r="I33" s="74"/>
      <c r="J33" s="73" t="s">
        <v>22</v>
      </c>
      <c r="K33" s="73" t="s">
        <v>22</v>
      </c>
      <c r="L33" s="73" t="s">
        <v>48</v>
      </c>
      <c r="M33" s="73" t="s">
        <v>48</v>
      </c>
      <c r="N33" s="73" t="s">
        <v>22</v>
      </c>
      <c r="O33" s="73" t="s">
        <v>48</v>
      </c>
      <c r="P33" s="73" t="s">
        <v>48</v>
      </c>
      <c r="Q33" s="73" t="s">
        <v>48</v>
      </c>
      <c r="R33" s="65"/>
    </row>
    <row r="34" spans="1:18">
      <c r="A34" s="1">
        <v>32</v>
      </c>
      <c r="B34" s="1" t="s">
        <v>178</v>
      </c>
      <c r="C34" s="1" t="s">
        <v>12</v>
      </c>
      <c r="D34" s="122">
        <f t="shared" si="23"/>
        <v>0.34300000000000003</v>
      </c>
      <c r="E34" s="70">
        <f>J34</f>
        <v>0.34300000000000003</v>
      </c>
      <c r="F34" s="70">
        <f>L34</f>
        <v>0.53</v>
      </c>
      <c r="G34" s="70">
        <v>0.41199999999999998</v>
      </c>
      <c r="H34" s="75"/>
      <c r="I34" s="75"/>
      <c r="J34" s="70">
        <v>0.34300000000000003</v>
      </c>
      <c r="K34" s="70">
        <v>0.34300000000000003</v>
      </c>
      <c r="L34" s="70">
        <v>0.53</v>
      </c>
      <c r="M34" s="70">
        <v>0.53</v>
      </c>
      <c r="N34" s="70">
        <v>0.34300000000000003</v>
      </c>
      <c r="O34" s="70">
        <v>0.53100000000000003</v>
      </c>
      <c r="P34" s="70">
        <v>0.53100000000000003</v>
      </c>
      <c r="Q34" s="75"/>
      <c r="R34" s="65"/>
    </row>
    <row r="35" spans="1:18">
      <c r="A35" s="1">
        <v>33</v>
      </c>
      <c r="C35" s="1" t="s">
        <v>24</v>
      </c>
      <c r="D35" s="123">
        <f t="shared" si="23"/>
        <v>147</v>
      </c>
      <c r="E35" s="72">
        <v>147</v>
      </c>
      <c r="F35" s="72">
        <v>265</v>
      </c>
      <c r="G35" s="72">
        <v>79</v>
      </c>
      <c r="H35" s="76"/>
      <c r="I35" s="76"/>
      <c r="J35" s="72">
        <v>77</v>
      </c>
      <c r="K35" s="72">
        <v>77</v>
      </c>
      <c r="L35" s="72">
        <v>138</v>
      </c>
      <c r="M35" s="72">
        <v>138</v>
      </c>
      <c r="N35" s="72">
        <v>77</v>
      </c>
      <c r="O35" s="72">
        <v>136</v>
      </c>
      <c r="P35" s="72">
        <v>136</v>
      </c>
      <c r="Q35" s="76"/>
      <c r="R35" s="65"/>
    </row>
    <row r="36" spans="1:18">
      <c r="A36" s="143">
        <v>34</v>
      </c>
      <c r="B36" s="143"/>
      <c r="C36" s="143" t="s">
        <v>49</v>
      </c>
      <c r="D36" s="146">
        <f t="shared" si="23"/>
        <v>8.3333333333333329E-2</v>
      </c>
      <c r="E36" s="335">
        <f t="shared" ref="E36:F36" si="26">E$23*2/3</f>
        <v>8.3333333333333329E-2</v>
      </c>
      <c r="F36" s="335">
        <f t="shared" si="26"/>
        <v>8.3333333333333329E-2</v>
      </c>
      <c r="G36" s="147">
        <f>G$23*2/3</f>
        <v>8.3333333333333329E-2</v>
      </c>
      <c r="H36" s="147">
        <f t="shared" ref="H36:P36" si="27">H$23*2/3</f>
        <v>6.6666666666666666E-2</v>
      </c>
      <c r="I36" s="147">
        <f t="shared" si="27"/>
        <v>0.10666666666666667</v>
      </c>
      <c r="J36" s="147">
        <f t="shared" si="27"/>
        <v>8.3333333333333329E-2</v>
      </c>
      <c r="K36" s="147">
        <f t="shared" si="27"/>
        <v>8.3333333333333329E-2</v>
      </c>
      <c r="L36" s="147">
        <f t="shared" si="27"/>
        <v>8.3333333333333329E-2</v>
      </c>
      <c r="M36" s="147">
        <f t="shared" si="27"/>
        <v>8.3333333333333329E-2</v>
      </c>
      <c r="N36" s="147">
        <f t="shared" si="27"/>
        <v>8.3333333333333329E-2</v>
      </c>
      <c r="O36" s="147">
        <f t="shared" si="27"/>
        <v>8.3333333333333329E-2</v>
      </c>
      <c r="P36" s="147">
        <f t="shared" si="27"/>
        <v>8.3333333333333329E-2</v>
      </c>
      <c r="Q36" s="76"/>
      <c r="R36" s="65"/>
    </row>
    <row r="37" spans="1:18">
      <c r="A37" s="1">
        <v>35</v>
      </c>
      <c r="B37" s="103" t="s">
        <v>145</v>
      </c>
      <c r="C37" s="1" t="s">
        <v>13</v>
      </c>
      <c r="D37" s="121" t="str">
        <f t="shared" si="23"/>
        <v>A1</v>
      </c>
      <c r="E37" s="107" t="str">
        <f t="shared" ref="E37:F37" si="28">E29</f>
        <v>A1</v>
      </c>
      <c r="F37" s="107" t="str">
        <f t="shared" si="28"/>
        <v>A0</v>
      </c>
      <c r="G37" s="107" t="str">
        <f t="shared" ref="G37:J37" si="29">G29</f>
        <v>A1</v>
      </c>
      <c r="H37" s="107" t="str">
        <f t="shared" si="29"/>
        <v>A1</v>
      </c>
      <c r="I37" s="107" t="str">
        <f t="shared" si="29"/>
        <v>A1</v>
      </c>
      <c r="J37" s="107" t="str">
        <f t="shared" si="29"/>
        <v>A1</v>
      </c>
      <c r="K37" s="107" t="str">
        <f>K29</f>
        <v>A1</v>
      </c>
      <c r="L37" s="107" t="str">
        <f t="shared" ref="L37:Q37" si="30">L29</f>
        <v>A0</v>
      </c>
      <c r="M37" s="107" t="str">
        <f t="shared" si="30"/>
        <v>A0</v>
      </c>
      <c r="N37" s="107" t="str">
        <f t="shared" si="30"/>
        <v>A1</v>
      </c>
      <c r="O37" s="107" t="str">
        <f t="shared" si="30"/>
        <v>A0</v>
      </c>
      <c r="P37" s="107" t="str">
        <f t="shared" si="30"/>
        <v>A0</v>
      </c>
      <c r="Q37" s="107" t="str">
        <f t="shared" si="30"/>
        <v>A0</v>
      </c>
      <c r="R37" s="65"/>
    </row>
    <row r="38" spans="1:18">
      <c r="A38" s="1">
        <v>36</v>
      </c>
      <c r="B38" s="148" t="s">
        <v>179</v>
      </c>
      <c r="C38" s="1" t="s">
        <v>12</v>
      </c>
      <c r="D38" s="122">
        <f t="shared" si="23"/>
        <v>1.0349999999999999</v>
      </c>
      <c r="E38" s="70">
        <f>J38</f>
        <v>1.0349999999999999</v>
      </c>
      <c r="F38" s="70">
        <f>L38</f>
        <v>2.048</v>
      </c>
      <c r="G38" s="70">
        <v>1.395</v>
      </c>
      <c r="H38" s="70">
        <v>1.391</v>
      </c>
      <c r="I38" s="70">
        <v>1.732</v>
      </c>
      <c r="J38" s="70">
        <v>1.0349999999999999</v>
      </c>
      <c r="K38" s="70">
        <v>1.0349999999999999</v>
      </c>
      <c r="L38" s="70">
        <v>2.048</v>
      </c>
      <c r="M38" s="70">
        <v>2.048</v>
      </c>
      <c r="N38" s="70">
        <v>1.036</v>
      </c>
      <c r="O38" s="70">
        <v>2.0489999999999999</v>
      </c>
      <c r="P38" s="70">
        <v>2.0489999999999999</v>
      </c>
      <c r="Q38" s="70">
        <v>2.786</v>
      </c>
      <c r="R38" s="65"/>
    </row>
    <row r="39" spans="1:18">
      <c r="A39" s="1">
        <v>37</v>
      </c>
      <c r="C39" s="1" t="s">
        <v>24</v>
      </c>
      <c r="D39" s="123">
        <f t="shared" si="23"/>
        <v>49</v>
      </c>
      <c r="E39" s="72">
        <v>49</v>
      </c>
      <c r="F39" s="72">
        <v>85</v>
      </c>
      <c r="G39" s="72">
        <v>54</v>
      </c>
      <c r="H39" s="72">
        <v>105</v>
      </c>
      <c r="I39" s="72">
        <v>116</v>
      </c>
      <c r="J39" s="72">
        <v>44</v>
      </c>
      <c r="K39" s="72">
        <v>44</v>
      </c>
      <c r="L39" s="72">
        <v>78</v>
      </c>
      <c r="M39" s="72">
        <v>78</v>
      </c>
      <c r="N39" s="72">
        <v>49</v>
      </c>
      <c r="O39" s="72">
        <v>86</v>
      </c>
      <c r="P39" s="72">
        <v>86</v>
      </c>
      <c r="Q39" s="72">
        <v>171</v>
      </c>
      <c r="R39" s="65"/>
    </row>
    <row r="40" spans="1:18">
      <c r="A40" s="1">
        <v>38</v>
      </c>
      <c r="C40" s="1" t="s">
        <v>49</v>
      </c>
      <c r="D40" s="124">
        <f t="shared" si="23"/>
        <v>0.31874999999999998</v>
      </c>
      <c r="E40" s="107">
        <f t="shared" ref="E40:F40" si="31">E$23*2.55</f>
        <v>0.31874999999999998</v>
      </c>
      <c r="F40" s="107">
        <f t="shared" si="31"/>
        <v>0.31874999999999998</v>
      </c>
      <c r="G40" s="107">
        <f>G32</f>
        <v>0.31874999999999998</v>
      </c>
      <c r="H40" s="107">
        <f t="shared" ref="H40:M40" si="32">H$23*2.55</f>
        <v>0.255</v>
      </c>
      <c r="I40" s="107">
        <f t="shared" si="32"/>
        <v>0.40799999999999997</v>
      </c>
      <c r="J40" s="107">
        <f t="shared" si="32"/>
        <v>0.31874999999999998</v>
      </c>
      <c r="K40" s="107">
        <f t="shared" si="32"/>
        <v>0.31874999999999998</v>
      </c>
      <c r="L40" s="107">
        <f t="shared" si="32"/>
        <v>0.31874999999999998</v>
      </c>
      <c r="M40" s="107">
        <f t="shared" si="32"/>
        <v>0.31874999999999998</v>
      </c>
      <c r="N40" s="107">
        <f t="shared" ref="N40:P40" si="33">N$23*2.55</f>
        <v>0.31874999999999998</v>
      </c>
      <c r="O40" s="107">
        <f t="shared" si="33"/>
        <v>0.31874999999999998</v>
      </c>
      <c r="P40" s="107">
        <f t="shared" si="33"/>
        <v>0.31874999999999998</v>
      </c>
      <c r="Q40" s="107">
        <f>Q$23*5</f>
        <v>0.8</v>
      </c>
      <c r="R40" s="65"/>
    </row>
    <row r="41" spans="1:18">
      <c r="A41" s="1">
        <v>39</v>
      </c>
      <c r="B41" s="103" t="s">
        <v>144</v>
      </c>
      <c r="C41" s="1" t="s">
        <v>13</v>
      </c>
      <c r="D41" s="121" t="str">
        <f t="shared" si="23"/>
        <v>A1</v>
      </c>
      <c r="E41" s="73" t="str">
        <f t="shared" ref="E41:F41" si="34">E33</f>
        <v>A1</v>
      </c>
      <c r="F41" s="73" t="str">
        <f t="shared" si="34"/>
        <v>A0</v>
      </c>
      <c r="G41" s="73" t="str">
        <f>G33</f>
        <v>A1</v>
      </c>
      <c r="H41" s="73">
        <f t="shared" ref="H41:L41" si="35">H33</f>
        <v>0</v>
      </c>
      <c r="I41" s="73">
        <f t="shared" si="35"/>
        <v>0</v>
      </c>
      <c r="J41" s="73" t="str">
        <f t="shared" si="35"/>
        <v>A1</v>
      </c>
      <c r="K41" s="73" t="str">
        <f t="shared" si="35"/>
        <v>A1</v>
      </c>
      <c r="L41" s="73" t="str">
        <f t="shared" si="35"/>
        <v>A0</v>
      </c>
      <c r="M41" s="73" t="str">
        <f>M33</f>
        <v>A0</v>
      </c>
      <c r="N41" s="73" t="str">
        <f>N33</f>
        <v>A1</v>
      </c>
      <c r="O41" s="73" t="str">
        <f t="shared" ref="O41:P41" si="36">O33</f>
        <v>A0</v>
      </c>
      <c r="P41" s="73" t="str">
        <f t="shared" si="36"/>
        <v>A0</v>
      </c>
      <c r="Q41" s="75"/>
      <c r="R41" s="65"/>
    </row>
    <row r="42" spans="1:18">
      <c r="A42" s="1">
        <v>40</v>
      </c>
      <c r="B42" s="148" t="s">
        <v>179</v>
      </c>
      <c r="C42" s="1" t="s">
        <v>12</v>
      </c>
      <c r="D42" s="122">
        <f t="shared" si="23"/>
        <v>0.32600000000000001</v>
      </c>
      <c r="E42" s="70">
        <f>J42</f>
        <v>0.32600000000000001</v>
      </c>
      <c r="F42" s="70">
        <f>L42</f>
        <v>0.51</v>
      </c>
      <c r="G42" s="70">
        <v>0.442</v>
      </c>
      <c r="H42" s="75"/>
      <c r="I42" s="75"/>
      <c r="J42" s="70">
        <v>0.32600000000000001</v>
      </c>
      <c r="K42" s="70">
        <v>0.32600000000000001</v>
      </c>
      <c r="L42" s="70">
        <v>0.51</v>
      </c>
      <c r="M42" s="70">
        <v>0.51</v>
      </c>
      <c r="N42" s="70">
        <v>0.32600000000000001</v>
      </c>
      <c r="O42" s="70">
        <v>0.51</v>
      </c>
      <c r="P42" s="70">
        <v>0.51</v>
      </c>
      <c r="Q42" s="75"/>
      <c r="R42" s="65"/>
    </row>
    <row r="43" spans="1:18">
      <c r="A43" s="1">
        <v>41</v>
      </c>
      <c r="C43" s="1" t="s">
        <v>24</v>
      </c>
      <c r="D43" s="123">
        <f t="shared" si="23"/>
        <v>56</v>
      </c>
      <c r="E43" s="72">
        <v>56</v>
      </c>
      <c r="F43" s="72">
        <v>94</v>
      </c>
      <c r="G43" s="72">
        <v>44</v>
      </c>
      <c r="H43" s="76"/>
      <c r="I43" s="76"/>
      <c r="J43" s="72">
        <v>42</v>
      </c>
      <c r="K43" s="72">
        <v>42</v>
      </c>
      <c r="L43" s="72">
        <v>74</v>
      </c>
      <c r="M43" s="72">
        <v>74</v>
      </c>
      <c r="N43" s="72">
        <v>40</v>
      </c>
      <c r="O43" s="72">
        <v>136</v>
      </c>
      <c r="P43" s="72">
        <v>136</v>
      </c>
      <c r="Q43" s="75"/>
      <c r="R43" s="65"/>
    </row>
    <row r="44" spans="1:18">
      <c r="A44" s="143">
        <v>42</v>
      </c>
      <c r="B44" s="143"/>
      <c r="C44" s="143" t="s">
        <v>49</v>
      </c>
      <c r="D44" s="146">
        <f t="shared" si="23"/>
        <v>8.3333333333333329E-2</v>
      </c>
      <c r="E44" s="335">
        <f t="shared" ref="E44:F44" si="37">E$23*2/3</f>
        <v>8.3333333333333329E-2</v>
      </c>
      <c r="F44" s="335">
        <f t="shared" si="37"/>
        <v>8.3333333333333329E-2</v>
      </c>
      <c r="G44" s="147">
        <f>G$23*2/3</f>
        <v>8.3333333333333329E-2</v>
      </c>
      <c r="H44" s="147">
        <f t="shared" ref="H44:M44" si="38">H$23*2/3</f>
        <v>6.6666666666666666E-2</v>
      </c>
      <c r="I44" s="147">
        <f t="shared" si="38"/>
        <v>0.10666666666666667</v>
      </c>
      <c r="J44" s="147">
        <f t="shared" si="38"/>
        <v>8.3333333333333329E-2</v>
      </c>
      <c r="K44" s="147">
        <f t="shared" si="38"/>
        <v>8.3333333333333329E-2</v>
      </c>
      <c r="L44" s="147">
        <f t="shared" si="38"/>
        <v>8.3333333333333329E-2</v>
      </c>
      <c r="M44" s="147">
        <f t="shared" si="38"/>
        <v>8.3333333333333329E-2</v>
      </c>
      <c r="N44" s="147">
        <f t="shared" ref="N44:P44" si="39">N$23*2/3</f>
        <v>8.3333333333333329E-2</v>
      </c>
      <c r="O44" s="147">
        <f t="shared" si="39"/>
        <v>8.3333333333333329E-2</v>
      </c>
      <c r="P44" s="147">
        <f t="shared" si="39"/>
        <v>8.3333333333333329E-2</v>
      </c>
      <c r="Q44" s="75"/>
      <c r="R44" s="65"/>
    </row>
    <row r="45" spans="1:18">
      <c r="A45" s="150">
        <v>43</v>
      </c>
      <c r="B45" s="149" t="s">
        <v>159</v>
      </c>
      <c r="C45" s="149" t="s">
        <v>180</v>
      </c>
      <c r="D45" s="156" t="str">
        <f>VLOOKUP(Input!D9,Table!$AH:$AI,2,FALSE)&amp;VLOOKUP(Input!D10,Table!$AH:$AI,2,FALSE)</f>
        <v>No.5Coated paper</v>
      </c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65"/>
    </row>
    <row r="46" spans="1:18">
      <c r="A46" s="149">
        <v>44</v>
      </c>
      <c r="C46" s="1" t="s">
        <v>13</v>
      </c>
      <c r="D46" s="80" t="str">
        <f>VLOOKUP(VLOOKUP($D$45,Table!$Z$2:$AD$21,2,FALSE),backdata!$A$29:$D$44,4,FALSE)</f>
        <v>A1</v>
      </c>
      <c r="E46" s="104" t="str">
        <f>IF(RefPic="No.5",backdata!E29,backdata!E33)</f>
        <v>A1</v>
      </c>
      <c r="F46" s="104" t="str">
        <f>IF(RefPic="No.5",backdata!F29,backdata!F33)</f>
        <v>A0</v>
      </c>
      <c r="G46" s="104" t="str">
        <f>IF(RefPic="No.5",backdata!G29,backdata!G33)</f>
        <v>A1</v>
      </c>
      <c r="H46" s="104" t="str">
        <f>IF(RefPic="No.5",backdata!H29,backdata!H33)</f>
        <v>A1</v>
      </c>
      <c r="I46" s="104" t="str">
        <f>IF(RefPic="No.5",backdata!I29,backdata!I33)</f>
        <v>A1</v>
      </c>
      <c r="J46" s="104" t="str">
        <f>IF(RefPic="No.5",backdata!J29,backdata!J33)</f>
        <v>A1</v>
      </c>
      <c r="K46" s="104" t="str">
        <f>IF(RefPic="No.5",backdata!K29,backdata!K33)</f>
        <v>A1</v>
      </c>
      <c r="L46" s="104" t="str">
        <f>IF(RefPic="No.5",backdata!L29,backdata!L33)</f>
        <v>A0</v>
      </c>
      <c r="M46" s="104" t="str">
        <f>IF(RefPic="No.5",backdata!M29,backdata!M33)</f>
        <v>A0</v>
      </c>
      <c r="N46" s="104" t="str">
        <f>IF(RefPic="No.5",backdata!N29,backdata!N33)</f>
        <v>A1</v>
      </c>
      <c r="O46" s="104" t="str">
        <f>IF(RefPic="No.5",backdata!O29,backdata!O33)</f>
        <v>A0</v>
      </c>
      <c r="P46" s="104" t="str">
        <f>IF(RefPic="No.5",backdata!P29,backdata!P33)</f>
        <v>A0</v>
      </c>
      <c r="Q46" s="104" t="str">
        <f>IF(RefPic="No.5",backdata!Q29,backdata!Q33)</f>
        <v>A0</v>
      </c>
    </row>
    <row r="47" spans="1:18">
      <c r="A47" s="149">
        <v>45</v>
      </c>
      <c r="C47" s="1" t="s">
        <v>141</v>
      </c>
      <c r="D47" s="86">
        <f>VLOOKUP(D$46,Table!$H:$I,2,FALSE)</f>
        <v>0.49955399999999994</v>
      </c>
      <c r="E47" s="63">
        <f>VLOOKUP(E$46,Table!$H:$I,2,FALSE)</f>
        <v>0.49955399999999994</v>
      </c>
      <c r="F47" s="63">
        <f>VLOOKUP(F$46,Table!$H:$I,2,FALSE)</f>
        <v>0.99994899999999998</v>
      </c>
      <c r="G47" s="63">
        <f>VLOOKUP(G$46,Table!$H:$I,2,FALSE)</f>
        <v>0.49955399999999994</v>
      </c>
      <c r="H47" s="63">
        <f>VLOOKUP(H$46,Table!$H:$I,2,FALSE)</f>
        <v>0.49955399999999994</v>
      </c>
      <c r="I47" s="63">
        <f>VLOOKUP(I$46,Table!$H:$I,2,FALSE)</f>
        <v>0.49955399999999994</v>
      </c>
      <c r="J47" s="63">
        <f>VLOOKUP(J$46,Table!$H:$I,2,FALSE)</f>
        <v>0.49955399999999994</v>
      </c>
      <c r="K47" s="63">
        <f>VLOOKUP(K$46,Table!$H:$I,2,FALSE)</f>
        <v>0.49955399999999994</v>
      </c>
      <c r="L47" s="63">
        <f>VLOOKUP(L$46,Table!$H:$I,2,FALSE)</f>
        <v>0.99994899999999998</v>
      </c>
      <c r="M47" s="63">
        <f>VLOOKUP(M$46,Table!$H:$I,2,FALSE)</f>
        <v>0.99994899999999998</v>
      </c>
      <c r="N47" s="63">
        <f>VLOOKUP(N$46,Table!$H:$I,2,FALSE)</f>
        <v>0.49955399999999994</v>
      </c>
      <c r="O47" s="63">
        <f>VLOOKUP(O$46,Table!$H:$I,2,FALSE)</f>
        <v>0.99994899999999998</v>
      </c>
      <c r="P47" s="63">
        <f>VLOOKUP(P$46,Table!$H:$I,2,FALSE)</f>
        <v>0.99994899999999998</v>
      </c>
      <c r="Q47" s="63">
        <f>VLOOKUP(Q$46,Table!$H:$I,2,FALSE)</f>
        <v>0.99994899999999998</v>
      </c>
    </row>
    <row r="48" spans="1:18">
      <c r="A48" s="149">
        <v>46</v>
      </c>
      <c r="C48" s="1" t="s">
        <v>12</v>
      </c>
      <c r="D48" s="155">
        <f>VLOOKUP(VLOOKUP($D$45,Table!$Z$2:$AD$21,3,FALSE),backdata!$A$29:$D$44,4,FALSE)</f>
        <v>1.357</v>
      </c>
      <c r="E48" s="105">
        <f>IF(RefPic="No.5",backdata!E30,backdata!E34)</f>
        <v>1.357</v>
      </c>
      <c r="F48" s="105">
        <f>IF(RefPic="No.5",backdata!F30,backdata!F34)</f>
        <v>2.6680000000000001</v>
      </c>
      <c r="G48" s="105">
        <f>IF(RefPic="No.5",backdata!G30,backdata!G34)</f>
        <v>1.3440000000000001</v>
      </c>
      <c r="H48" s="105">
        <f>IF(RefPic="No.5",backdata!H30,backdata!H34)</f>
        <v>1.831</v>
      </c>
      <c r="I48" s="105">
        <f>IF(RefPic="No.5",backdata!I30,backdata!I34)</f>
        <v>2.3130000000000002</v>
      </c>
      <c r="J48" s="105">
        <f>IF(RefPic="No.5",backdata!J30,backdata!J34)</f>
        <v>1.357</v>
      </c>
      <c r="K48" s="105">
        <f>IF(RefPic="No.5",backdata!K30,backdata!K34)</f>
        <v>1.357</v>
      </c>
      <c r="L48" s="105">
        <f>IF(RefPic="No.5",backdata!L30,backdata!L34)</f>
        <v>2.6680000000000001</v>
      </c>
      <c r="M48" s="105">
        <f>IF(RefPic="No.5",backdata!M30,backdata!M34)</f>
        <v>2.6680000000000001</v>
      </c>
      <c r="N48" s="105">
        <f>IF(RefPic="No.5",backdata!N30,backdata!N34)</f>
        <v>1.3169999999999999</v>
      </c>
      <c r="O48" s="105">
        <f>IF(RefPic="No.5",backdata!O30,backdata!O34)</f>
        <v>2.67</v>
      </c>
      <c r="P48" s="105">
        <f>IF(RefPic="No.5",backdata!P30,backdata!P34)</f>
        <v>2.67</v>
      </c>
      <c r="Q48" s="105">
        <f>IF(RefPic="No.5",backdata!Q30,backdata!Q34)</f>
        <v>3.847</v>
      </c>
      <c r="R48" s="65"/>
    </row>
    <row r="49" spans="1:18">
      <c r="A49" s="149">
        <v>47</v>
      </c>
      <c r="C49" s="1" t="s">
        <v>24</v>
      </c>
      <c r="D49" s="90">
        <f>VLOOKUP(VLOOKUP($D$45,Table!$Z$2:$AD$21,4,FALSE),backdata!$A$29:$D$44,4,FALSE)</f>
        <v>106</v>
      </c>
      <c r="E49" s="106">
        <f>IF(RefPic="No.5",backdata!E31,backdata!E35)</f>
        <v>106</v>
      </c>
      <c r="F49" s="106">
        <f>IF(RefPic="No.5",backdata!F31,backdata!F35)</f>
        <v>190</v>
      </c>
      <c r="G49" s="106">
        <f>IF(RefPic="No.5",backdata!G31,backdata!G35)</f>
        <v>96</v>
      </c>
      <c r="H49" s="106">
        <f>IF(RefPic="No.5",backdata!H31,backdata!H35)</f>
        <v>105</v>
      </c>
      <c r="I49" s="106">
        <f>IF(RefPic="No.5",backdata!I31,backdata!I35)</f>
        <v>116</v>
      </c>
      <c r="J49" s="106">
        <f>IF(RefPic="No.5",backdata!J31,backdata!J35)</f>
        <v>82</v>
      </c>
      <c r="K49" s="106">
        <f>IF(RefPic="No.5",backdata!K31,backdata!K35)</f>
        <v>82</v>
      </c>
      <c r="L49" s="106">
        <f>IF(RefPic="No.5",backdata!L31,backdata!L35)</f>
        <v>156</v>
      </c>
      <c r="M49" s="106">
        <f>IF(RefPic="No.5",backdata!M31,backdata!M35)</f>
        <v>156</v>
      </c>
      <c r="N49" s="106">
        <f>IF(RefPic="No.5",backdata!N31,backdata!N35)</f>
        <v>88</v>
      </c>
      <c r="O49" s="106">
        <f>IF(RefPic="No.5",backdata!O31,backdata!O35)</f>
        <v>157</v>
      </c>
      <c r="P49" s="106">
        <f>IF(RefPic="No.5",backdata!P31,backdata!P35)</f>
        <v>157</v>
      </c>
      <c r="Q49" s="106">
        <f>IF(RefPic="No.5",backdata!Q31,backdata!Q35)</f>
        <v>171</v>
      </c>
      <c r="R49" s="65"/>
    </row>
    <row r="50" spans="1:18">
      <c r="A50" s="149">
        <v>48</v>
      </c>
      <c r="C50" s="1" t="s">
        <v>29</v>
      </c>
      <c r="D50" s="80" t="str">
        <f>HLOOKUP($D$3,$E$3:$Q$72,$A50,FALSE)</f>
        <v>Standard</v>
      </c>
      <c r="E50" s="60" t="s">
        <v>23</v>
      </c>
      <c r="F50" s="60" t="s">
        <v>23</v>
      </c>
      <c r="G50" s="60" t="s">
        <v>23</v>
      </c>
      <c r="H50" s="60" t="s">
        <v>23</v>
      </c>
      <c r="I50" s="60" t="s">
        <v>23</v>
      </c>
      <c r="J50" s="60" t="s">
        <v>23</v>
      </c>
      <c r="K50" s="60" t="s">
        <v>23</v>
      </c>
      <c r="L50" s="60" t="s">
        <v>23</v>
      </c>
      <c r="M50" s="60" t="s">
        <v>23</v>
      </c>
      <c r="N50" s="60" t="s">
        <v>23</v>
      </c>
      <c r="O50" s="60" t="s">
        <v>23</v>
      </c>
      <c r="P50" s="60" t="s">
        <v>23</v>
      </c>
      <c r="Q50" s="60" t="s">
        <v>23</v>
      </c>
      <c r="R50" s="1" t="s">
        <v>136</v>
      </c>
    </row>
    <row r="51" spans="1:18">
      <c r="A51" s="149">
        <v>49</v>
      </c>
      <c r="C51" s="1" t="s">
        <v>25</v>
      </c>
      <c r="D51" s="80" t="str">
        <f>Input!$D$10</f>
        <v>Beschichtetes Papier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</row>
    <row r="52" spans="1:18">
      <c r="A52" s="149">
        <v>50</v>
      </c>
      <c r="C52" s="1" t="s">
        <v>49</v>
      </c>
      <c r="D52" s="91">
        <f>VLOOKUP(VLOOKUP($D$45,Table!$Z$2:$AD$21,5,FALSE),backdata!$A$29:$D$44,4,FALSE)</f>
        <v>0.31874999999999998</v>
      </c>
      <c r="E52" s="71">
        <f>IF(RefPic="No.5",backdata!E32,backdata!E36)</f>
        <v>0.31874999999999998</v>
      </c>
      <c r="F52" s="71">
        <f>IF(RefPic="No.5",backdata!F32,backdata!F36)</f>
        <v>0.31874999999999998</v>
      </c>
      <c r="G52" s="71">
        <f>IF(RefPic="No.5",backdata!G32,backdata!G36)</f>
        <v>0.31874999999999998</v>
      </c>
      <c r="H52" s="71">
        <f>IF(RefPic="No.5",backdata!H32,backdata!H36)</f>
        <v>0.255</v>
      </c>
      <c r="I52" s="71">
        <f>IF(RefPic="No.5",backdata!I32,backdata!I36)</f>
        <v>0.40799999999999997</v>
      </c>
      <c r="J52" s="71">
        <f>IF(RefPic="No.5",backdata!J32,backdata!J36)</f>
        <v>0.31874999999999998</v>
      </c>
      <c r="K52" s="71">
        <f>IF(RefPic="No.5",backdata!K32,backdata!K36)</f>
        <v>0.31874999999999998</v>
      </c>
      <c r="L52" s="71">
        <f>IF(RefPic="No.5",backdata!L32,backdata!L36)</f>
        <v>0.31874999999999998</v>
      </c>
      <c r="M52" s="71">
        <f>IF(RefPic="No.5",backdata!M32,backdata!M36)</f>
        <v>0.31874999999999998</v>
      </c>
      <c r="N52" s="71">
        <f>IF(RefPic="No.5",backdata!N32,backdata!N36)</f>
        <v>0.31874999999999998</v>
      </c>
      <c r="O52" s="71">
        <f>IF(RefPic="No.5",backdata!O32,backdata!O36)</f>
        <v>0.31874999999999998</v>
      </c>
      <c r="P52" s="71">
        <f>IF(RefPic="No.5",backdata!P32,backdata!P36)</f>
        <v>0.31874999999999998</v>
      </c>
      <c r="Q52" s="71">
        <f>IF(RefPic="No.5",backdata!Q32,backdata!Q36)</f>
        <v>0.8</v>
      </c>
    </row>
    <row r="53" spans="1:18">
      <c r="A53" s="149">
        <v>51</v>
      </c>
      <c r="B53" s="1" t="s">
        <v>140</v>
      </c>
      <c r="C53" s="1" t="s">
        <v>20</v>
      </c>
      <c r="D53" s="82">
        <f>Input!$K$8</f>
        <v>150</v>
      </c>
      <c r="E53" s="4">
        <f>Input!$K$8</f>
        <v>150</v>
      </c>
      <c r="F53" s="4">
        <f>Input!$K$8</f>
        <v>150</v>
      </c>
      <c r="G53" s="4">
        <f>Input!$K$8</f>
        <v>150</v>
      </c>
      <c r="H53" s="4">
        <f>Input!$K$8</f>
        <v>150</v>
      </c>
      <c r="I53" s="4">
        <f>Input!$K$8</f>
        <v>150</v>
      </c>
      <c r="J53" s="4">
        <f>Input!$K$8</f>
        <v>150</v>
      </c>
      <c r="K53" s="4">
        <f>Input!$K$8</f>
        <v>150</v>
      </c>
      <c r="L53" s="4">
        <f>Input!$K$8</f>
        <v>150</v>
      </c>
      <c r="M53" s="4">
        <f>Input!$K$8</f>
        <v>150</v>
      </c>
      <c r="N53" s="4">
        <f>Input!$K$8</f>
        <v>150</v>
      </c>
      <c r="O53" s="4">
        <f>Input!$K$8</f>
        <v>150</v>
      </c>
      <c r="P53" s="4">
        <f>Input!$K$8</f>
        <v>150</v>
      </c>
      <c r="Q53" s="4">
        <f>Input!$K$8</f>
        <v>150</v>
      </c>
      <c r="R53" s="1" t="s">
        <v>28</v>
      </c>
    </row>
    <row r="54" spans="1:18">
      <c r="A54" s="149">
        <v>52</v>
      </c>
      <c r="C54" s="1" t="s">
        <v>59</v>
      </c>
      <c r="D54" s="82" t="str">
        <f>Input!$D$7</f>
        <v>A2</v>
      </c>
      <c r="E54" s="4" t="str">
        <f>Input!$D$7</f>
        <v>A2</v>
      </c>
      <c r="F54" s="4" t="str">
        <f>Input!$D$7</f>
        <v>A2</v>
      </c>
      <c r="G54" s="4" t="str">
        <f>Input!$D$7</f>
        <v>A2</v>
      </c>
      <c r="H54" s="4" t="str">
        <f>Input!$D$7</f>
        <v>A2</v>
      </c>
      <c r="I54" s="4" t="str">
        <f>Input!$D$7</f>
        <v>A2</v>
      </c>
      <c r="J54" s="4" t="str">
        <f>Input!$D$7</f>
        <v>A2</v>
      </c>
      <c r="K54" s="4" t="str">
        <f>Input!$D$7</f>
        <v>A2</v>
      </c>
      <c r="L54" s="4" t="str">
        <f>Input!$D$7</f>
        <v>A2</v>
      </c>
      <c r="M54" s="4" t="str">
        <f>Input!$D$7</f>
        <v>A2</v>
      </c>
      <c r="N54" s="4" t="str">
        <f>Input!$D$7</f>
        <v>A2</v>
      </c>
      <c r="O54" s="4" t="str">
        <f>Input!$D$7</f>
        <v>A2</v>
      </c>
      <c r="P54" s="4" t="str">
        <f>Input!$D$7</f>
        <v>A2</v>
      </c>
      <c r="Q54" s="4" t="str">
        <f>Input!$D$7</f>
        <v>A2</v>
      </c>
    </row>
    <row r="55" spans="1:18">
      <c r="A55" s="149">
        <v>53</v>
      </c>
      <c r="C55" s="1" t="s">
        <v>141</v>
      </c>
      <c r="D55" s="86">
        <f>HLOOKUP($D$3,$E$3:$Q$72,$A55,FALSE)</f>
        <v>0.24947999999999998</v>
      </c>
      <c r="E55" s="5">
        <f>VLOOKUP(E$54,Table!$H:$I,2,FALSE)</f>
        <v>0.24947999999999998</v>
      </c>
      <c r="F55" s="5">
        <f>VLOOKUP(F$54,Table!$H:$I,2,FALSE)</f>
        <v>0.24947999999999998</v>
      </c>
      <c r="G55" s="5">
        <f>VLOOKUP(G$54,Table!$H:$I,2,FALSE)</f>
        <v>0.24947999999999998</v>
      </c>
      <c r="H55" s="5">
        <f>VLOOKUP(H$54,Table!$H:$I,2,FALSE)</f>
        <v>0.24947999999999998</v>
      </c>
      <c r="I55" s="5">
        <f>VLOOKUP(I$54,Table!$H:$I,2,FALSE)</f>
        <v>0.24947999999999998</v>
      </c>
      <c r="J55" s="5">
        <f>VLOOKUP(J$54,Table!$H:$I,2,FALSE)</f>
        <v>0.24947999999999998</v>
      </c>
      <c r="K55" s="5">
        <f>VLOOKUP(K$54,Table!$H:$I,2,FALSE)</f>
        <v>0.24947999999999998</v>
      </c>
      <c r="L55" s="5">
        <f>VLOOKUP(L$54,Table!$H:$I,2,FALSE)</f>
        <v>0.24947999999999998</v>
      </c>
      <c r="M55" s="5">
        <f>VLOOKUP(M$54,Table!$H:$I,2,FALSE)</f>
        <v>0.24947999999999998</v>
      </c>
      <c r="N55" s="5">
        <f>VLOOKUP(N$54,Table!$H:$I,2,FALSE)</f>
        <v>0.24947999999999998</v>
      </c>
      <c r="O55" s="5">
        <f>VLOOKUP(O$54,Table!$H:$I,2,FALSE)</f>
        <v>0.24947999999999998</v>
      </c>
      <c r="P55" s="5">
        <f>VLOOKUP(P$54,Table!$H:$I,2,FALSE)</f>
        <v>0.24947999999999998</v>
      </c>
      <c r="Q55" s="5">
        <f>VLOOKUP(Q$54,Table!$H:$I,2,FALSE)</f>
        <v>0.24947999999999998</v>
      </c>
    </row>
    <row r="56" spans="1:18">
      <c r="A56" s="149">
        <v>54</v>
      </c>
      <c r="B56" s="1" t="s">
        <v>143</v>
      </c>
      <c r="C56" s="1" t="s">
        <v>38</v>
      </c>
      <c r="D56" s="92">
        <f>D48*D53*(D$55/D$47)</f>
        <v>101.65398335315102</v>
      </c>
      <c r="E56" s="9">
        <f t="shared" ref="E56:F56" si="40">E48*E53*(E$55/E$47)</f>
        <v>101.65398335315102</v>
      </c>
      <c r="F56" s="9">
        <f t="shared" si="40"/>
        <v>99.846988196398016</v>
      </c>
      <c r="G56" s="9">
        <f t="shared" ref="G56:Q56" si="41">G48*G53*(G$55/G$47)</f>
        <v>100.68014268727707</v>
      </c>
      <c r="H56" s="9">
        <f t="shared" si="41"/>
        <v>137.1617122473246</v>
      </c>
      <c r="I56" s="9">
        <f t="shared" si="41"/>
        <v>173.26872770511301</v>
      </c>
      <c r="J56" s="9">
        <f t="shared" ref="J56" si="42">J48*J53*(J$55/J$47)</f>
        <v>101.65398335315102</v>
      </c>
      <c r="K56" s="9">
        <f>K48*K53*(K$55/K$47)</f>
        <v>101.65398335315102</v>
      </c>
      <c r="L56" s="9">
        <f t="shared" si="41"/>
        <v>99.846988196398016</v>
      </c>
      <c r="M56" s="9">
        <f t="shared" si="41"/>
        <v>99.846988196398016</v>
      </c>
      <c r="N56" s="9">
        <f t="shared" ref="N56" si="43">N48*N53*(N$55/N$47)</f>
        <v>98.657550535077291</v>
      </c>
      <c r="O56" s="9">
        <f t="shared" si="41"/>
        <v>99.921836013636693</v>
      </c>
      <c r="P56" s="9">
        <f t="shared" si="41"/>
        <v>99.921836013636693</v>
      </c>
      <c r="Q56" s="9">
        <f t="shared" si="41"/>
        <v>143.96977645859937</v>
      </c>
    </row>
    <row r="57" spans="1:18">
      <c r="A57" s="149">
        <v>55</v>
      </c>
      <c r="C57" s="1" t="s">
        <v>39</v>
      </c>
      <c r="D57" s="93">
        <f t="shared" ref="D57:Q57" si="44">D58/D14*D12</f>
        <v>64.618731869042705</v>
      </c>
      <c r="E57" s="22">
        <f t="shared" si="44"/>
        <v>64.618731869042705</v>
      </c>
      <c r="F57" s="22">
        <f t="shared" si="44"/>
        <v>64.618731869042705</v>
      </c>
      <c r="G57" s="22">
        <f t="shared" si="44"/>
        <v>64.618731869042705</v>
      </c>
      <c r="H57" s="22">
        <f t="shared" si="44"/>
        <v>64.618731869042705</v>
      </c>
      <c r="I57" s="22">
        <f t="shared" si="44"/>
        <v>64.618731869042705</v>
      </c>
      <c r="J57" s="22">
        <f t="shared" ref="J57" si="45">J58/J14*J12</f>
        <v>64.618731869042705</v>
      </c>
      <c r="K57" s="22">
        <f t="shared" si="44"/>
        <v>64.618731869042705</v>
      </c>
      <c r="L57" s="22">
        <f t="shared" si="44"/>
        <v>64.618731869042705</v>
      </c>
      <c r="M57" s="22">
        <f t="shared" si="44"/>
        <v>64.618731869042705</v>
      </c>
      <c r="N57" s="22">
        <f t="shared" ref="N57" si="46">N58/N14*N12</f>
        <v>64.618731869042705</v>
      </c>
      <c r="O57" s="22">
        <f t="shared" si="44"/>
        <v>64.618731869042705</v>
      </c>
      <c r="P57" s="22">
        <f t="shared" si="44"/>
        <v>64.618731869042705</v>
      </c>
      <c r="Q57" s="22">
        <f t="shared" si="44"/>
        <v>64.618731869042705</v>
      </c>
    </row>
    <row r="58" spans="1:18">
      <c r="A58" s="149">
        <v>56</v>
      </c>
      <c r="C58" s="1" t="s">
        <v>43</v>
      </c>
      <c r="D58" s="86">
        <f>D53*D55</f>
        <v>37.421999999999997</v>
      </c>
      <c r="E58" s="5">
        <f t="shared" ref="E58:F58" si="47">E53*E55</f>
        <v>37.421999999999997</v>
      </c>
      <c r="F58" s="5">
        <f t="shared" si="47"/>
        <v>37.421999999999997</v>
      </c>
      <c r="G58" s="5">
        <f t="shared" ref="G58:Q58" si="48">G53*G55</f>
        <v>37.421999999999997</v>
      </c>
      <c r="H58" s="5">
        <f t="shared" si="48"/>
        <v>37.421999999999997</v>
      </c>
      <c r="I58" s="5">
        <f t="shared" si="48"/>
        <v>37.421999999999997</v>
      </c>
      <c r="J58" s="5">
        <f t="shared" ref="J58" si="49">J53*J55</f>
        <v>37.421999999999997</v>
      </c>
      <c r="K58" s="5">
        <f t="shared" si="48"/>
        <v>37.421999999999997</v>
      </c>
      <c r="L58" s="5">
        <f t="shared" si="48"/>
        <v>37.421999999999997</v>
      </c>
      <c r="M58" s="5">
        <f t="shared" si="48"/>
        <v>37.421999999999997</v>
      </c>
      <c r="N58" s="5">
        <f t="shared" ref="N58" si="50">N53*N55</f>
        <v>37.421999999999997</v>
      </c>
      <c r="O58" s="5">
        <f t="shared" si="48"/>
        <v>37.421999999999997</v>
      </c>
      <c r="P58" s="5">
        <f t="shared" si="48"/>
        <v>37.421999999999997</v>
      </c>
      <c r="Q58" s="5">
        <f t="shared" si="48"/>
        <v>37.421999999999997</v>
      </c>
    </row>
    <row r="59" spans="1:18">
      <c r="A59" s="149">
        <v>57</v>
      </c>
      <c r="C59" s="1" t="s">
        <v>31</v>
      </c>
      <c r="D59" s="94">
        <f>D53*D49/60/60*(D$55/D$47)</f>
        <v>2.2057074910820456</v>
      </c>
      <c r="E59" s="10">
        <f t="shared" ref="E59:F59" si="51">E53*E49/60/60*(E$55/E$47)</f>
        <v>2.2057074910820456</v>
      </c>
      <c r="F59" s="10">
        <f t="shared" si="51"/>
        <v>1.975150732687367</v>
      </c>
      <c r="G59" s="10">
        <f t="shared" ref="G59:Q59" si="52">G53*G49/60/60*(G$55/G$47)</f>
        <v>1.9976218787158146</v>
      </c>
      <c r="H59" s="10">
        <f t="shared" si="52"/>
        <v>2.1848989298454224</v>
      </c>
      <c r="I59" s="10">
        <f t="shared" si="52"/>
        <v>2.4137931034482758</v>
      </c>
      <c r="J59" s="10">
        <f t="shared" ref="J59" si="53">J53*J49/60/60*(J$55/J$47)</f>
        <v>1.7063020214030915</v>
      </c>
      <c r="K59" s="10">
        <f t="shared" si="52"/>
        <v>1.7063020214030915</v>
      </c>
      <c r="L59" s="10">
        <f t="shared" si="52"/>
        <v>1.6217027068380487</v>
      </c>
      <c r="M59" s="10">
        <f t="shared" si="52"/>
        <v>1.6217027068380487</v>
      </c>
      <c r="N59" s="10">
        <f t="shared" ref="N59" si="54">N53*N49/60/60*(N$55/N$47)</f>
        <v>1.83115338882283</v>
      </c>
      <c r="O59" s="10">
        <f t="shared" si="52"/>
        <v>1.6320982370100874</v>
      </c>
      <c r="P59" s="10">
        <f t="shared" si="52"/>
        <v>1.6320982370100874</v>
      </c>
      <c r="Q59" s="10">
        <f t="shared" si="52"/>
        <v>1.7776356594186302</v>
      </c>
    </row>
    <row r="60" spans="1:18">
      <c r="A60" s="149">
        <v>58</v>
      </c>
      <c r="C60" s="1" t="s">
        <v>142</v>
      </c>
      <c r="D60" s="184">
        <f>D59*D5/1000</f>
        <v>0.11469678953626637</v>
      </c>
      <c r="E60" s="185">
        <f t="shared" ref="E60:F60" si="55">E59*E5/1000</f>
        <v>0.11469678953626637</v>
      </c>
      <c r="F60" s="185">
        <f t="shared" si="55"/>
        <v>0.10270783809974308</v>
      </c>
      <c r="G60" s="185">
        <f>G59*G5/1000</f>
        <v>0.19976218787158145</v>
      </c>
      <c r="H60" s="185">
        <f t="shared" ref="H60:Q60" si="56">H59*H5/1000</f>
        <v>0.21848989298454224</v>
      </c>
      <c r="I60" s="185">
        <f t="shared" si="56"/>
        <v>0.2413793103448276</v>
      </c>
      <c r="J60" s="185">
        <f t="shared" si="56"/>
        <v>0.11773483947681332</v>
      </c>
      <c r="K60" s="185">
        <f t="shared" si="56"/>
        <v>0.11773483947681332</v>
      </c>
      <c r="L60" s="185">
        <f t="shared" si="56"/>
        <v>0.11189748677182536</v>
      </c>
      <c r="M60" s="185">
        <f t="shared" si="56"/>
        <v>0.11189748677182536</v>
      </c>
      <c r="N60" s="185">
        <f t="shared" si="56"/>
        <v>0.16663495838287753</v>
      </c>
      <c r="O60" s="185">
        <f t="shared" si="56"/>
        <v>0.17137031488605917</v>
      </c>
      <c r="P60" s="185">
        <f t="shared" si="56"/>
        <v>0.17463451136007935</v>
      </c>
      <c r="Q60" s="185">
        <f t="shared" si="56"/>
        <v>0.19020701555779343</v>
      </c>
    </row>
    <row r="61" spans="1:18">
      <c r="A61" s="149">
        <v>59</v>
      </c>
      <c r="B61" s="1" t="s">
        <v>52</v>
      </c>
      <c r="C61" s="1" t="s">
        <v>15</v>
      </c>
      <c r="D61" s="95">
        <f>Input!$K$26</f>
        <v>20</v>
      </c>
      <c r="E61" s="11">
        <f>Input!$K$26</f>
        <v>20</v>
      </c>
      <c r="F61" s="11">
        <f>Input!$K$26</f>
        <v>20</v>
      </c>
      <c r="G61" s="11">
        <f>Input!$K$26</f>
        <v>20</v>
      </c>
      <c r="H61" s="11">
        <f>Input!$K$26</f>
        <v>20</v>
      </c>
      <c r="I61" s="11">
        <f>Input!$K$26</f>
        <v>20</v>
      </c>
      <c r="J61" s="11">
        <f>Input!$K$26</f>
        <v>20</v>
      </c>
      <c r="K61" s="11">
        <f>Input!$K$26</f>
        <v>20</v>
      </c>
      <c r="L61" s="11">
        <f>Input!$K$26</f>
        <v>20</v>
      </c>
      <c r="M61" s="11">
        <f>Input!$K$26</f>
        <v>20</v>
      </c>
      <c r="N61" s="11">
        <f>Input!$K$26</f>
        <v>20</v>
      </c>
      <c r="O61" s="11">
        <f>Input!$K$26</f>
        <v>20</v>
      </c>
      <c r="P61" s="11">
        <f>Input!$K$26</f>
        <v>20</v>
      </c>
      <c r="Q61" s="11">
        <f>Input!$K$26</f>
        <v>20</v>
      </c>
      <c r="R61" s="1" t="s">
        <v>28</v>
      </c>
    </row>
    <row r="62" spans="1:18">
      <c r="A62" s="149">
        <v>60</v>
      </c>
      <c r="C62" s="1" t="s">
        <v>134</v>
      </c>
      <c r="D62" s="96">
        <f>Input!$K$27</f>
        <v>0.2</v>
      </c>
      <c r="E62" s="57">
        <f>Input!$K$27</f>
        <v>0.2</v>
      </c>
      <c r="F62" s="57">
        <f>Input!$K$27</f>
        <v>0.2</v>
      </c>
      <c r="G62" s="57">
        <f>Input!$K$27</f>
        <v>0.2</v>
      </c>
      <c r="H62" s="57">
        <f>Input!$K$27</f>
        <v>0.2</v>
      </c>
      <c r="I62" s="57">
        <f>Input!$K$27</f>
        <v>0.2</v>
      </c>
      <c r="J62" s="57">
        <f>Input!$K$27</f>
        <v>0.2</v>
      </c>
      <c r="K62" s="57">
        <f>Input!$K$27</f>
        <v>0.2</v>
      </c>
      <c r="L62" s="57">
        <f>Input!$K$27</f>
        <v>0.2</v>
      </c>
      <c r="M62" s="57">
        <f>Input!$K$27</f>
        <v>0.2</v>
      </c>
      <c r="N62" s="57">
        <f>Input!$K$27</f>
        <v>0.2</v>
      </c>
      <c r="O62" s="57">
        <f>Input!$K$27</f>
        <v>0.2</v>
      </c>
      <c r="P62" s="57">
        <f>Input!$K$27</f>
        <v>0.2</v>
      </c>
      <c r="Q62" s="57">
        <f>Input!$K$27</f>
        <v>0.2</v>
      </c>
      <c r="R62" s="1" t="s">
        <v>28</v>
      </c>
    </row>
    <row r="63" spans="1:18">
      <c r="A63" s="149">
        <v>61</v>
      </c>
      <c r="B63" s="1" t="s">
        <v>33</v>
      </c>
      <c r="C63" s="1" t="s">
        <v>34</v>
      </c>
      <c r="D63" s="97">
        <f>D56*D9</f>
        <v>280.93464490325374</v>
      </c>
      <c r="E63" s="12">
        <f t="shared" ref="E63:F63" si="57">E56*E9</f>
        <v>280.93464490325374</v>
      </c>
      <c r="F63" s="12">
        <f t="shared" si="57"/>
        <v>275.94076737913633</v>
      </c>
      <c r="G63" s="12">
        <f t="shared" ref="G63:Q63" si="58">G56*G9</f>
        <v>117.71832068050858</v>
      </c>
      <c r="H63" s="12">
        <f t="shared" si="58"/>
        <v>69.49526753864447</v>
      </c>
      <c r="I63" s="12">
        <f t="shared" si="58"/>
        <v>87.789488703923936</v>
      </c>
      <c r="J63" s="12">
        <f>J56*J9</f>
        <v>51.504684898929852</v>
      </c>
      <c r="K63" s="12">
        <f>K56*K9</f>
        <v>51.504684898929852</v>
      </c>
      <c r="L63" s="12">
        <f t="shared" si="58"/>
        <v>50.589140686175</v>
      </c>
      <c r="M63" s="12">
        <f t="shared" si="58"/>
        <v>50.589140686175</v>
      </c>
      <c r="N63" s="12">
        <f t="shared" ref="N63" si="59">N56*N9</f>
        <v>21.422782401902499</v>
      </c>
      <c r="O63" s="12">
        <f t="shared" si="58"/>
        <v>21.69731296296111</v>
      </c>
      <c r="P63" s="12">
        <f t="shared" si="58"/>
        <v>21.69731296296111</v>
      </c>
      <c r="Q63" s="12">
        <f t="shared" si="58"/>
        <v>31.262008602438719</v>
      </c>
    </row>
    <row r="64" spans="1:18">
      <c r="A64" s="149">
        <v>62</v>
      </c>
      <c r="C64" s="1" t="s">
        <v>35</v>
      </c>
      <c r="D64" s="97">
        <f>D22*D56</f>
        <v>11.385246135552915</v>
      </c>
      <c r="E64" s="12">
        <f t="shared" ref="E64:F64" si="60">E22*E56</f>
        <v>11.385246135552915</v>
      </c>
      <c r="F64" s="12">
        <f t="shared" si="60"/>
        <v>11.182862677996578</v>
      </c>
      <c r="G64" s="12">
        <f>G22*G56</f>
        <v>11.276175980975031</v>
      </c>
      <c r="H64" s="12">
        <f t="shared" ref="H64:Q64" si="61">H22*H56</f>
        <v>15.362111771700356</v>
      </c>
      <c r="I64" s="12">
        <f t="shared" si="61"/>
        <v>19.406097502972656</v>
      </c>
      <c r="J64" s="12">
        <f t="shared" si="61"/>
        <v>11.385246135552915</v>
      </c>
      <c r="K64" s="12">
        <f t="shared" si="61"/>
        <v>11.385246135552915</v>
      </c>
      <c r="L64" s="12">
        <f t="shared" si="61"/>
        <v>11.182862677996578</v>
      </c>
      <c r="M64" s="12">
        <f t="shared" si="61"/>
        <v>11.182862677996578</v>
      </c>
      <c r="N64" s="12">
        <f t="shared" si="61"/>
        <v>11.049645659928657</v>
      </c>
      <c r="O64" s="12">
        <f t="shared" si="61"/>
        <v>11.191245633527309</v>
      </c>
      <c r="P64" s="12">
        <f t="shared" si="61"/>
        <v>11.191245633527309</v>
      </c>
      <c r="Q64" s="12">
        <f t="shared" si="61"/>
        <v>16.124614963363129</v>
      </c>
    </row>
    <row r="65" spans="1:18">
      <c r="A65" s="149">
        <v>63</v>
      </c>
      <c r="C65" s="1" t="s">
        <v>36</v>
      </c>
      <c r="D65" s="97">
        <f t="shared" ref="D65:Q65" si="62">D16*D58</f>
        <v>107.9132822213013</v>
      </c>
      <c r="E65" s="12">
        <f t="shared" si="62"/>
        <v>107.9132822213013</v>
      </c>
      <c r="F65" s="12">
        <f t="shared" si="62"/>
        <v>107.9132822213013</v>
      </c>
      <c r="G65" s="12">
        <f t="shared" si="62"/>
        <v>107.9132822213013</v>
      </c>
      <c r="H65" s="12">
        <f t="shared" si="62"/>
        <v>107.9132822213013</v>
      </c>
      <c r="I65" s="12">
        <f t="shared" si="62"/>
        <v>107.9132822213013</v>
      </c>
      <c r="J65" s="12">
        <f t="shared" ref="J65" si="63">J16*J58</f>
        <v>107.9132822213013</v>
      </c>
      <c r="K65" s="12">
        <f t="shared" si="62"/>
        <v>107.9132822213013</v>
      </c>
      <c r="L65" s="12">
        <f t="shared" si="62"/>
        <v>107.9132822213013</v>
      </c>
      <c r="M65" s="12">
        <f t="shared" si="62"/>
        <v>107.9132822213013</v>
      </c>
      <c r="N65" s="12">
        <f t="shared" ref="N65" si="64">N16*N58</f>
        <v>107.9132822213013</v>
      </c>
      <c r="O65" s="12">
        <f t="shared" si="62"/>
        <v>107.9132822213013</v>
      </c>
      <c r="P65" s="12">
        <f t="shared" si="62"/>
        <v>107.9132822213013</v>
      </c>
      <c r="Q65" s="12">
        <f t="shared" si="62"/>
        <v>107.9132822213013</v>
      </c>
    </row>
    <row r="66" spans="1:18">
      <c r="A66" s="149">
        <v>64</v>
      </c>
      <c r="C66" s="1" t="s">
        <v>37</v>
      </c>
      <c r="D66" s="97">
        <f>D53*D19*(D$55/D$25)</f>
        <v>0.88929845422116538</v>
      </c>
      <c r="E66" s="12">
        <f t="shared" ref="E66:F66" si="65">E53*E19*(E$55/E$25)</f>
        <v>0.88929845422116538</v>
      </c>
      <c r="F66" s="12">
        <f t="shared" si="65"/>
        <v>0.88929845422116538</v>
      </c>
      <c r="G66" s="12">
        <f>G53*G19*(G$55/G$25)</f>
        <v>4.1500594530321049</v>
      </c>
      <c r="H66" s="12">
        <f t="shared" ref="H66:Q66" si="66">H53*H19*(H$55/H$25)</f>
        <v>4.1500594530321049</v>
      </c>
      <c r="I66" s="12">
        <f t="shared" si="66"/>
        <v>4.1500594530321049</v>
      </c>
      <c r="J66" s="12">
        <f t="shared" si="66"/>
        <v>1.8309085822200462</v>
      </c>
      <c r="K66" s="12">
        <f t="shared" si="66"/>
        <v>1.8309085822200462</v>
      </c>
      <c r="L66" s="12">
        <f t="shared" si="66"/>
        <v>1.8309085822200462</v>
      </c>
      <c r="M66" s="12">
        <f t="shared" si="66"/>
        <v>1.8309085822200462</v>
      </c>
      <c r="N66" s="12">
        <f t="shared" si="66"/>
        <v>1.8309085822200462</v>
      </c>
      <c r="O66" s="12">
        <f t="shared" si="66"/>
        <v>1.8309085822200462</v>
      </c>
      <c r="P66" s="12">
        <f t="shared" si="66"/>
        <v>1.8309085822200462</v>
      </c>
      <c r="Q66" s="12">
        <f t="shared" si="66"/>
        <v>2.0732845375114133</v>
      </c>
    </row>
    <row r="67" spans="1:18">
      <c r="A67" s="149">
        <v>65</v>
      </c>
      <c r="C67" s="1" t="s">
        <v>1</v>
      </c>
      <c r="D67" s="97">
        <f t="shared" ref="D67:Q67" si="67">D28</f>
        <v>12.777777777777779</v>
      </c>
      <c r="E67" s="12">
        <f t="shared" si="67"/>
        <v>12.777777777777779</v>
      </c>
      <c r="F67" s="12">
        <f t="shared" si="67"/>
        <v>12.777777777777779</v>
      </c>
      <c r="G67" s="12">
        <f t="shared" si="67"/>
        <v>12.777777777777779</v>
      </c>
      <c r="H67" s="12">
        <f t="shared" si="67"/>
        <v>12.777777777777779</v>
      </c>
      <c r="I67" s="12">
        <f t="shared" si="67"/>
        <v>12.777777777777779</v>
      </c>
      <c r="J67" s="12">
        <f t="shared" ref="J67" si="68">J28</f>
        <v>12.777777777777779</v>
      </c>
      <c r="K67" s="12">
        <f t="shared" si="67"/>
        <v>12.777777777777779</v>
      </c>
      <c r="L67" s="12">
        <f t="shared" si="67"/>
        <v>12.777777777777779</v>
      </c>
      <c r="M67" s="12">
        <f t="shared" si="67"/>
        <v>12.777777777777779</v>
      </c>
      <c r="N67" s="12">
        <f t="shared" ref="N67" si="69">N28</f>
        <v>12.777777777777779</v>
      </c>
      <c r="O67" s="12">
        <f t="shared" si="67"/>
        <v>12.777777777777779</v>
      </c>
      <c r="P67" s="12">
        <f t="shared" si="67"/>
        <v>12.777777777777779</v>
      </c>
      <c r="Q67" s="12">
        <f t="shared" si="67"/>
        <v>12.777777777777779</v>
      </c>
    </row>
    <row r="68" spans="1:18">
      <c r="A68" s="149">
        <v>66</v>
      </c>
      <c r="C68" s="1" t="s">
        <v>53</v>
      </c>
      <c r="D68" s="97">
        <f>D59*D61</f>
        <v>44.114149821640908</v>
      </c>
      <c r="E68" s="12">
        <f t="shared" ref="E68:F68" si="70">E59*E61</f>
        <v>44.114149821640908</v>
      </c>
      <c r="F68" s="12">
        <f t="shared" si="70"/>
        <v>39.503014653747343</v>
      </c>
      <c r="G68" s="12">
        <f t="shared" ref="G68:Q68" si="71">G59*G61</f>
        <v>39.952437574316292</v>
      </c>
      <c r="H68" s="12">
        <f t="shared" si="71"/>
        <v>43.697978596908449</v>
      </c>
      <c r="I68" s="12">
        <f t="shared" si="71"/>
        <v>48.275862068965516</v>
      </c>
      <c r="J68" s="12">
        <f t="shared" ref="J68" si="72">J59*J61</f>
        <v>34.126040428061827</v>
      </c>
      <c r="K68" s="12">
        <f t="shared" si="71"/>
        <v>34.126040428061827</v>
      </c>
      <c r="L68" s="12">
        <f t="shared" si="71"/>
        <v>32.434054136760977</v>
      </c>
      <c r="M68" s="12">
        <f t="shared" si="71"/>
        <v>32.434054136760977</v>
      </c>
      <c r="N68" s="12">
        <f t="shared" ref="N68" si="73">N59*N61</f>
        <v>36.623067776456601</v>
      </c>
      <c r="O68" s="12">
        <f t="shared" si="71"/>
        <v>32.64196474020175</v>
      </c>
      <c r="P68" s="12">
        <f t="shared" si="71"/>
        <v>32.64196474020175</v>
      </c>
      <c r="Q68" s="12">
        <f t="shared" si="71"/>
        <v>35.552713188372607</v>
      </c>
    </row>
    <row r="69" spans="1:18">
      <c r="A69" s="149">
        <v>67</v>
      </c>
      <c r="C69" s="1" t="s">
        <v>32</v>
      </c>
      <c r="D69" s="182">
        <f>D62*D60</f>
        <v>2.2939357907253276E-2</v>
      </c>
      <c r="E69" s="183">
        <f t="shared" ref="E69:F69" si="74">E62*E60</f>
        <v>2.2939357907253276E-2</v>
      </c>
      <c r="F69" s="183">
        <f t="shared" si="74"/>
        <v>2.0541567619948617E-2</v>
      </c>
      <c r="G69" s="183">
        <f>G62*G60</f>
        <v>3.9952437574316296E-2</v>
      </c>
      <c r="H69" s="183">
        <f t="shared" ref="H69:Q69" si="75">H62*H60</f>
        <v>4.3697978596908452E-2</v>
      </c>
      <c r="I69" s="183">
        <f t="shared" si="75"/>
        <v>4.8275862068965524E-2</v>
      </c>
      <c r="J69" s="183">
        <f t="shared" ref="J69" si="76">J62*J60</f>
        <v>2.3546967895362664E-2</v>
      </c>
      <c r="K69" s="183">
        <f t="shared" si="75"/>
        <v>2.3546967895362664E-2</v>
      </c>
      <c r="L69" s="183">
        <f t="shared" si="75"/>
        <v>2.2379497354365074E-2</v>
      </c>
      <c r="M69" s="183">
        <f t="shared" si="75"/>
        <v>2.2379497354365074E-2</v>
      </c>
      <c r="N69" s="183">
        <f t="shared" ref="N69" si="77">N62*N60</f>
        <v>3.3326991676575511E-2</v>
      </c>
      <c r="O69" s="183">
        <f t="shared" si="75"/>
        <v>3.4274062977211833E-2</v>
      </c>
      <c r="P69" s="183">
        <f t="shared" si="75"/>
        <v>3.4926902272015871E-2</v>
      </c>
      <c r="Q69" s="183">
        <f t="shared" si="75"/>
        <v>3.8041403111558687E-2</v>
      </c>
      <c r="R69" s="13"/>
    </row>
    <row r="70" spans="1:18">
      <c r="A70" s="149">
        <v>68</v>
      </c>
      <c r="C70" s="58" t="s">
        <v>40</v>
      </c>
      <c r="D70" s="98">
        <f>SUM(D63:D69)</f>
        <v>458.03733867165505</v>
      </c>
      <c r="E70" s="59">
        <f t="shared" ref="E70:F70" si="78">SUM(E63:E69)</f>
        <v>458.03733867165505</v>
      </c>
      <c r="F70" s="59">
        <f t="shared" si="78"/>
        <v>448.22754473180044</v>
      </c>
      <c r="G70" s="59">
        <f>SUM(G63:G69)</f>
        <v>293.82800612548539</v>
      </c>
      <c r="H70" s="59">
        <f t="shared" ref="H70:Q70" si="79">SUM(H63:H69)</f>
        <v>253.44017533796134</v>
      </c>
      <c r="I70" s="59">
        <f t="shared" si="79"/>
        <v>280.36084359004224</v>
      </c>
      <c r="J70" s="59">
        <f t="shared" ref="J70" si="80">SUM(J63:J69)</f>
        <v>219.56148701173908</v>
      </c>
      <c r="K70" s="59">
        <f t="shared" si="79"/>
        <v>219.56148701173908</v>
      </c>
      <c r="L70" s="59">
        <f t="shared" si="79"/>
        <v>216.75040557958604</v>
      </c>
      <c r="M70" s="59">
        <f t="shared" si="79"/>
        <v>216.75040557958604</v>
      </c>
      <c r="N70" s="59">
        <f t="shared" ref="N70" si="81">SUM(N63:N69)</f>
        <v>191.65079141126344</v>
      </c>
      <c r="O70" s="59">
        <f t="shared" si="79"/>
        <v>188.0867659809665</v>
      </c>
      <c r="P70" s="59">
        <f t="shared" si="79"/>
        <v>188.08741882026132</v>
      </c>
      <c r="Q70" s="59">
        <f t="shared" si="79"/>
        <v>205.74172269387651</v>
      </c>
    </row>
    <row r="71" spans="1:18">
      <c r="A71" s="149">
        <v>69</v>
      </c>
      <c r="B71" s="1" t="s">
        <v>51</v>
      </c>
      <c r="C71" s="1" t="s">
        <v>115</v>
      </c>
      <c r="D71" s="78">
        <f>Input!$D$17</f>
        <v>700</v>
      </c>
      <c r="E71" s="3">
        <f>Input!$D$17</f>
        <v>700</v>
      </c>
      <c r="F71" s="3">
        <f>Input!$D$17</f>
        <v>700</v>
      </c>
      <c r="G71" s="3">
        <f>Input!$D$17</f>
        <v>700</v>
      </c>
      <c r="H71" s="3">
        <f>Input!$D$17</f>
        <v>700</v>
      </c>
      <c r="I71" s="3">
        <f>Input!$D$17</f>
        <v>700</v>
      </c>
      <c r="J71" s="3">
        <f>Input!$D$17</f>
        <v>700</v>
      </c>
      <c r="K71" s="3">
        <f>Input!$D$17</f>
        <v>700</v>
      </c>
      <c r="L71" s="3">
        <f>Input!$D$17</f>
        <v>700</v>
      </c>
      <c r="M71" s="3">
        <f>Input!$D$17</f>
        <v>700</v>
      </c>
      <c r="N71" s="3">
        <f>Input!$D$17</f>
        <v>700</v>
      </c>
      <c r="O71" s="3">
        <f>Input!$D$17</f>
        <v>700</v>
      </c>
      <c r="P71" s="3">
        <f>Input!$D$17</f>
        <v>700</v>
      </c>
      <c r="Q71" s="3">
        <f>Input!$D$17</f>
        <v>700</v>
      </c>
    </row>
    <row r="72" spans="1:18" ht="14" thickBot="1">
      <c r="A72" s="149">
        <v>70</v>
      </c>
      <c r="C72" s="1" t="s">
        <v>19</v>
      </c>
      <c r="D72" s="99">
        <f>Input!$D$16</f>
        <v>1000</v>
      </c>
      <c r="E72" s="3">
        <f>Input!$D$16</f>
        <v>1000</v>
      </c>
      <c r="F72" s="3">
        <f>Input!$D$16</f>
        <v>1000</v>
      </c>
      <c r="G72" s="3">
        <f>Input!$D$16</f>
        <v>1000</v>
      </c>
      <c r="H72" s="3">
        <f>Input!$D$16</f>
        <v>1000</v>
      </c>
      <c r="I72" s="3">
        <f>Input!$D$16</f>
        <v>1000</v>
      </c>
      <c r="J72" s="3">
        <f>Input!$D$16</f>
        <v>1000</v>
      </c>
      <c r="K72" s="3">
        <f>Input!$D$16</f>
        <v>1000</v>
      </c>
      <c r="L72" s="3">
        <f>Input!$D$16</f>
        <v>1000</v>
      </c>
      <c r="M72" s="3">
        <f>Input!$D$16</f>
        <v>1000</v>
      </c>
      <c r="N72" s="3">
        <f>Input!$D$16</f>
        <v>1000</v>
      </c>
      <c r="O72" s="3">
        <f>Input!$D$16</f>
        <v>1000</v>
      </c>
      <c r="P72" s="3">
        <f>Input!$D$16</f>
        <v>1000</v>
      </c>
      <c r="Q72" s="3">
        <f>Input!$D$16</f>
        <v>1000</v>
      </c>
      <c r="R72" s="1" t="s">
        <v>28</v>
      </c>
    </row>
    <row r="86" spans="7:16">
      <c r="G86" s="120"/>
      <c r="H86" s="120"/>
      <c r="I86" s="120"/>
      <c r="J86" s="120"/>
      <c r="K86" s="120"/>
      <c r="L86" s="120"/>
      <c r="M86" s="120"/>
      <c r="N86" s="120"/>
      <c r="O86" s="120"/>
      <c r="P86" s="120"/>
    </row>
  </sheetData>
  <pageMargins left="0.7" right="0.7" top="0.75" bottom="0.75" header="0.3" footer="0.3"/>
  <pageSetup paperSize="9" orientation="portrait" verticalDpi="4294967293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249977111117893"/>
  </sheetPr>
  <dimension ref="A1:F2"/>
  <sheetViews>
    <sheetView workbookViewId="0">
      <selection activeCell="F1" sqref="F1"/>
    </sheetView>
  </sheetViews>
  <sheetFormatPr baseColWidth="10" defaultColWidth="9.1640625" defaultRowHeight="13"/>
  <cols>
    <col min="1" max="1" width="11.6640625" bestFit="1" customWidth="1"/>
    <col min="2" max="2" width="10.5" customWidth="1"/>
    <col min="3" max="3" width="7.5" bestFit="1" customWidth="1"/>
    <col min="5" max="5" width="9.1640625" style="135"/>
    <col min="6" max="6" width="20.6640625" customWidth="1"/>
  </cols>
  <sheetData>
    <row r="1" spans="1:6" ht="66" customHeight="1">
      <c r="A1" s="101" t="str">
        <f>Table!O2</f>
        <v>Foto</v>
      </c>
      <c r="C1" s="138" t="s">
        <v>155</v>
      </c>
      <c r="E1" s="136" t="s">
        <v>175</v>
      </c>
      <c r="F1" s="137" t="str">
        <f>VLOOKUP(Input!$D$9,Table!$AH:$AI,2,FALSE)</f>
        <v>No.5</v>
      </c>
    </row>
    <row r="2" spans="1:6" ht="75" customHeight="1">
      <c r="A2" s="101" t="str">
        <f>Table!O3</f>
        <v>CAD-Zeichnung</v>
      </c>
      <c r="C2" s="138" t="s">
        <v>153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249977111117893"/>
  </sheetPr>
  <dimension ref="A1:BI27"/>
  <sheetViews>
    <sheetView showGridLines="0" zoomScale="85" zoomScaleNormal="85" workbookViewId="0">
      <selection activeCell="C13" sqref="C13"/>
    </sheetView>
  </sheetViews>
  <sheetFormatPr baseColWidth="10" defaultColWidth="9.1640625" defaultRowHeight="13"/>
  <cols>
    <col min="1" max="1" width="18" style="1" bestFit="1" customWidth="1"/>
    <col min="2" max="2" width="10.6640625" style="1" bestFit="1" customWidth="1"/>
    <col min="3" max="4" width="9.1640625" style="1"/>
    <col min="5" max="6" width="8.5" style="1" bestFit="1" customWidth="1"/>
    <col min="7" max="16384" width="9.1640625" style="1"/>
  </cols>
  <sheetData>
    <row r="1" spans="1:61"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  <c r="AI1" s="2">
        <v>34</v>
      </c>
      <c r="AJ1" s="2">
        <v>35</v>
      </c>
      <c r="AK1" s="2">
        <v>36</v>
      </c>
      <c r="AL1" s="2">
        <v>37</v>
      </c>
      <c r="AM1" s="2">
        <v>38</v>
      </c>
      <c r="AN1" s="2">
        <v>39</v>
      </c>
      <c r="AO1" s="2">
        <v>40</v>
      </c>
      <c r="AP1" s="2">
        <v>41</v>
      </c>
      <c r="AQ1" s="2">
        <v>42</v>
      </c>
      <c r="AR1" s="2">
        <v>43</v>
      </c>
      <c r="AS1" s="2">
        <v>44</v>
      </c>
      <c r="AT1" s="2">
        <v>45</v>
      </c>
      <c r="AU1" s="2">
        <v>46</v>
      </c>
      <c r="AV1" s="2">
        <v>47</v>
      </c>
      <c r="AW1" s="2">
        <v>48</v>
      </c>
      <c r="AX1" s="2">
        <v>49</v>
      </c>
      <c r="AY1" s="2">
        <v>50</v>
      </c>
      <c r="AZ1" s="2">
        <v>51</v>
      </c>
      <c r="BA1" s="2">
        <v>52</v>
      </c>
      <c r="BB1" s="2">
        <v>53</v>
      </c>
      <c r="BC1" s="2">
        <v>54</v>
      </c>
      <c r="BD1" s="2">
        <v>55</v>
      </c>
      <c r="BE1" s="2">
        <v>56</v>
      </c>
      <c r="BF1" s="2">
        <v>57</v>
      </c>
      <c r="BG1" s="2">
        <v>58</v>
      </c>
      <c r="BH1" s="2">
        <v>59</v>
      </c>
      <c r="BI1" s="2">
        <v>60</v>
      </c>
    </row>
    <row r="2" spans="1:61" ht="28">
      <c r="B2" s="164" t="str">
        <f>Launguage!$C$121</f>
        <v>Monat 1
(kauf)</v>
      </c>
      <c r="C2" s="2" t="str">
        <f>Launguage!$C$120&amp;" "&amp;C$1</f>
        <v>Monat 2</v>
      </c>
      <c r="D2" s="2" t="str">
        <f>Launguage!$C$120&amp;" "&amp;D$1</f>
        <v>Monat 3</v>
      </c>
      <c r="E2" s="2" t="str">
        <f>Launguage!$C$120&amp;" "&amp;E$1</f>
        <v>Monat 4</v>
      </c>
      <c r="F2" s="2" t="str">
        <f>Launguage!$C$120&amp;" "&amp;F$1</f>
        <v>Monat 5</v>
      </c>
      <c r="G2" s="2" t="str">
        <f>Launguage!$C$120&amp;" "&amp;G$1</f>
        <v>Monat 6</v>
      </c>
      <c r="H2" s="2" t="str">
        <f>Launguage!$C$120&amp;" "&amp;H$1</f>
        <v>Monat 7</v>
      </c>
      <c r="I2" s="2" t="str">
        <f>Launguage!$C$120&amp;" "&amp;I$1</f>
        <v>Monat 8</v>
      </c>
      <c r="J2" s="2" t="str">
        <f>Launguage!$C$120&amp;" "&amp;J$1</f>
        <v>Monat 9</v>
      </c>
      <c r="K2" s="2" t="str">
        <f>Launguage!$C$120&amp;" "&amp;K$1</f>
        <v>Monat 10</v>
      </c>
      <c r="L2" s="2" t="str">
        <f>Launguage!$C$120&amp;" "&amp;L$1</f>
        <v>Monat 11</v>
      </c>
      <c r="M2" s="2" t="str">
        <f>Launguage!$C$120&amp;" "&amp;M$1</f>
        <v>Monat 12</v>
      </c>
      <c r="N2" s="2" t="str">
        <f>Launguage!$C$120&amp;" "&amp;N$1</f>
        <v>Monat 13</v>
      </c>
      <c r="O2" s="2" t="str">
        <f>Launguage!$C$120&amp;" "&amp;O$1</f>
        <v>Monat 14</v>
      </c>
      <c r="P2" s="2" t="str">
        <f>Launguage!$C$120&amp;" "&amp;P$1</f>
        <v>Monat 15</v>
      </c>
      <c r="Q2" s="2" t="str">
        <f>Launguage!$C$120&amp;" "&amp;Q$1</f>
        <v>Monat 16</v>
      </c>
      <c r="R2" s="2" t="str">
        <f>Launguage!$C$120&amp;" "&amp;R$1</f>
        <v>Monat 17</v>
      </c>
      <c r="S2" s="2" t="str">
        <f>Launguage!$C$120&amp;" "&amp;S$1</f>
        <v>Monat 18</v>
      </c>
      <c r="T2" s="2" t="str">
        <f>Launguage!$C$120&amp;" "&amp;T$1</f>
        <v>Monat 19</v>
      </c>
      <c r="U2" s="2" t="str">
        <f>Launguage!$C$120&amp;" "&amp;U$1</f>
        <v>Monat 20</v>
      </c>
      <c r="V2" s="2" t="str">
        <f>Launguage!$C$120&amp;" "&amp;V$1</f>
        <v>Monat 21</v>
      </c>
      <c r="W2" s="2" t="str">
        <f>Launguage!$C$120&amp;" "&amp;W$1</f>
        <v>Monat 22</v>
      </c>
      <c r="X2" s="2" t="str">
        <f>Launguage!$C$120&amp;" "&amp;X$1</f>
        <v>Monat 23</v>
      </c>
      <c r="Y2" s="2" t="str">
        <f>Launguage!$C$120&amp;" "&amp;Y$1</f>
        <v>Monat 24</v>
      </c>
      <c r="Z2" s="2" t="str">
        <f>Launguage!$C$120&amp;" "&amp;Z$1</f>
        <v>Monat 25</v>
      </c>
      <c r="AA2" s="2" t="str">
        <f>Launguage!$C$120&amp;" "&amp;AA$1</f>
        <v>Monat 26</v>
      </c>
      <c r="AB2" s="2" t="str">
        <f>Launguage!$C$120&amp;" "&amp;AB$1</f>
        <v>Monat 27</v>
      </c>
      <c r="AC2" s="2" t="str">
        <f>Launguage!$C$120&amp;" "&amp;AC$1</f>
        <v>Monat 28</v>
      </c>
      <c r="AD2" s="2" t="str">
        <f>Launguage!$C$120&amp;" "&amp;AD$1</f>
        <v>Monat 29</v>
      </c>
      <c r="AE2" s="2" t="str">
        <f>Launguage!$C$120&amp;" "&amp;AE$1</f>
        <v>Monat 30</v>
      </c>
      <c r="AF2" s="2" t="str">
        <f>Launguage!$C$120&amp;" "&amp;AF$1</f>
        <v>Monat 31</v>
      </c>
      <c r="AG2" s="2" t="str">
        <f>Launguage!$C$120&amp;" "&amp;AG$1</f>
        <v>Monat 32</v>
      </c>
      <c r="AH2" s="2" t="str">
        <f>Launguage!$C$120&amp;" "&amp;AH$1</f>
        <v>Monat 33</v>
      </c>
      <c r="AI2" s="2" t="str">
        <f>Launguage!$C$120&amp;" "&amp;AI$1</f>
        <v>Monat 34</v>
      </c>
      <c r="AJ2" s="2" t="str">
        <f>Launguage!$C$120&amp;" "&amp;AJ$1</f>
        <v>Monat 35</v>
      </c>
      <c r="AK2" s="2" t="str">
        <f>Launguage!$C$120&amp;" "&amp;AK$1</f>
        <v>Monat 36</v>
      </c>
      <c r="AL2" s="2" t="str">
        <f>Launguage!$C$120&amp;" "&amp;AL$1</f>
        <v>Monat 37</v>
      </c>
      <c r="AM2" s="2" t="str">
        <f>Launguage!$C$120&amp;" "&amp;AM$1</f>
        <v>Monat 38</v>
      </c>
      <c r="AN2" s="2" t="str">
        <f>Launguage!$C$120&amp;" "&amp;AN$1</f>
        <v>Monat 39</v>
      </c>
      <c r="AO2" s="2" t="str">
        <f>Launguage!$C$120&amp;" "&amp;AO$1</f>
        <v>Monat 40</v>
      </c>
      <c r="AP2" s="2" t="str">
        <f>Launguage!$C$120&amp;" "&amp;AP$1</f>
        <v>Monat 41</v>
      </c>
      <c r="AQ2" s="2" t="str">
        <f>Launguage!$C$120&amp;" "&amp;AQ$1</f>
        <v>Monat 42</v>
      </c>
      <c r="AR2" s="2" t="str">
        <f>Launguage!$C$120&amp;" "&amp;AR$1</f>
        <v>Monat 43</v>
      </c>
      <c r="AS2" s="2" t="str">
        <f>Launguage!$C$120&amp;" "&amp;AS$1</f>
        <v>Monat 44</v>
      </c>
      <c r="AT2" s="2" t="str">
        <f>Launguage!$C$120&amp;" "&amp;AT$1</f>
        <v>Monat 45</v>
      </c>
      <c r="AU2" s="2" t="str">
        <f>Launguage!$C$120&amp;" "&amp;AU$1</f>
        <v>Monat 46</v>
      </c>
      <c r="AV2" s="2" t="str">
        <f>Launguage!$C$120&amp;" "&amp;AV$1</f>
        <v>Monat 47</v>
      </c>
      <c r="AW2" s="2" t="str">
        <f>Launguage!$C$120&amp;" "&amp;AW$1</f>
        <v>Monat 48</v>
      </c>
      <c r="AX2" s="2" t="str">
        <f>Launguage!$C$120&amp;" "&amp;AX$1</f>
        <v>Monat 49</v>
      </c>
      <c r="AY2" s="2" t="str">
        <f>Launguage!$C$120&amp;" "&amp;AY$1</f>
        <v>Monat 50</v>
      </c>
      <c r="AZ2" s="2" t="str">
        <f>Launguage!$C$120&amp;" "&amp;AZ$1</f>
        <v>Monat 51</v>
      </c>
      <c r="BA2" s="2" t="str">
        <f>Launguage!$C$120&amp;" "&amp;BA$1</f>
        <v>Monat 52</v>
      </c>
      <c r="BB2" s="2" t="str">
        <f>Launguage!$C$120&amp;" "&amp;BB$1</f>
        <v>Monat 53</v>
      </c>
      <c r="BC2" s="2" t="str">
        <f>Launguage!$C$120&amp;" "&amp;BC$1</f>
        <v>Monat 54</v>
      </c>
      <c r="BD2" s="2" t="str">
        <f>Launguage!$C$120&amp;" "&amp;BD$1</f>
        <v>Monat 55</v>
      </c>
      <c r="BE2" s="2" t="str">
        <f>Launguage!$C$120&amp;" "&amp;BE$1</f>
        <v>Monat 56</v>
      </c>
      <c r="BF2" s="2" t="str">
        <f>Launguage!$C$120&amp;" "&amp;BF$1</f>
        <v>Monat 57</v>
      </c>
      <c r="BG2" s="2" t="str">
        <f>Launguage!$C$120&amp;" "&amp;BG$1</f>
        <v>Monat 58</v>
      </c>
      <c r="BH2" s="2" t="str">
        <f>Launguage!$C$120&amp;" "&amp;BH$1</f>
        <v>Monat 59</v>
      </c>
      <c r="BI2" s="2" t="str">
        <f>Launguage!$C$120&amp;" "&amp;BI$1</f>
        <v>Monat 60</v>
      </c>
    </row>
    <row r="3" spans="1:61">
      <c r="A3" s="1" t="str">
        <f>Launguage!$C$71</f>
        <v>Aktueller Workflow mit Outsourcing</v>
      </c>
      <c r="B3" s="29">
        <f>0</f>
        <v>0</v>
      </c>
      <c r="C3" s="30">
        <f>B3+$B$20</f>
        <v>1750</v>
      </c>
      <c r="D3" s="30">
        <f t="shared" ref="D3:BI3" si="0">C3+$B$20</f>
        <v>3500</v>
      </c>
      <c r="E3" s="30">
        <f t="shared" si="0"/>
        <v>5250</v>
      </c>
      <c r="F3" s="30">
        <f t="shared" si="0"/>
        <v>7000</v>
      </c>
      <c r="G3" s="30">
        <f t="shared" si="0"/>
        <v>8750</v>
      </c>
      <c r="H3" s="30">
        <f t="shared" si="0"/>
        <v>10500</v>
      </c>
      <c r="I3" s="30">
        <f t="shared" si="0"/>
        <v>12250</v>
      </c>
      <c r="J3" s="30">
        <f t="shared" si="0"/>
        <v>14000</v>
      </c>
      <c r="K3" s="30">
        <f t="shared" si="0"/>
        <v>15750</v>
      </c>
      <c r="L3" s="30">
        <f t="shared" si="0"/>
        <v>17500</v>
      </c>
      <c r="M3" s="30">
        <f t="shared" si="0"/>
        <v>19250</v>
      </c>
      <c r="N3" s="30">
        <f t="shared" si="0"/>
        <v>21000</v>
      </c>
      <c r="O3" s="30">
        <f t="shared" si="0"/>
        <v>22750</v>
      </c>
      <c r="P3" s="30">
        <f t="shared" si="0"/>
        <v>24500</v>
      </c>
      <c r="Q3" s="30">
        <f t="shared" si="0"/>
        <v>26250</v>
      </c>
      <c r="R3" s="30">
        <f t="shared" si="0"/>
        <v>28000</v>
      </c>
      <c r="S3" s="30">
        <f t="shared" si="0"/>
        <v>29750</v>
      </c>
      <c r="T3" s="30">
        <f t="shared" si="0"/>
        <v>31500</v>
      </c>
      <c r="U3" s="30">
        <f t="shared" si="0"/>
        <v>33250</v>
      </c>
      <c r="V3" s="30">
        <f t="shared" si="0"/>
        <v>35000</v>
      </c>
      <c r="W3" s="30">
        <f t="shared" si="0"/>
        <v>36750</v>
      </c>
      <c r="X3" s="30">
        <f t="shared" si="0"/>
        <v>38500</v>
      </c>
      <c r="Y3" s="30">
        <f t="shared" si="0"/>
        <v>40250</v>
      </c>
      <c r="Z3" s="30">
        <f t="shared" si="0"/>
        <v>42000</v>
      </c>
      <c r="AA3" s="30">
        <f t="shared" si="0"/>
        <v>43750</v>
      </c>
      <c r="AB3" s="30">
        <f t="shared" si="0"/>
        <v>45500</v>
      </c>
      <c r="AC3" s="30">
        <f t="shared" si="0"/>
        <v>47250</v>
      </c>
      <c r="AD3" s="30">
        <f t="shared" si="0"/>
        <v>49000</v>
      </c>
      <c r="AE3" s="30">
        <f t="shared" si="0"/>
        <v>50750</v>
      </c>
      <c r="AF3" s="30">
        <f t="shared" si="0"/>
        <v>52500</v>
      </c>
      <c r="AG3" s="30">
        <f t="shared" si="0"/>
        <v>54250</v>
      </c>
      <c r="AH3" s="30">
        <f t="shared" si="0"/>
        <v>56000</v>
      </c>
      <c r="AI3" s="30">
        <f t="shared" si="0"/>
        <v>57750</v>
      </c>
      <c r="AJ3" s="30">
        <f t="shared" si="0"/>
        <v>59500</v>
      </c>
      <c r="AK3" s="30">
        <f t="shared" si="0"/>
        <v>61250</v>
      </c>
      <c r="AL3" s="30">
        <f t="shared" si="0"/>
        <v>63000</v>
      </c>
      <c r="AM3" s="30">
        <f t="shared" si="0"/>
        <v>64750</v>
      </c>
      <c r="AN3" s="30">
        <f t="shared" si="0"/>
        <v>66500</v>
      </c>
      <c r="AO3" s="30">
        <f t="shared" si="0"/>
        <v>68250</v>
      </c>
      <c r="AP3" s="30">
        <f t="shared" si="0"/>
        <v>70000</v>
      </c>
      <c r="AQ3" s="30">
        <f t="shared" si="0"/>
        <v>71750</v>
      </c>
      <c r="AR3" s="30">
        <f t="shared" si="0"/>
        <v>73500</v>
      </c>
      <c r="AS3" s="30">
        <f t="shared" si="0"/>
        <v>75250</v>
      </c>
      <c r="AT3" s="30">
        <f t="shared" si="0"/>
        <v>77000</v>
      </c>
      <c r="AU3" s="30">
        <f t="shared" si="0"/>
        <v>78750</v>
      </c>
      <c r="AV3" s="30">
        <f t="shared" si="0"/>
        <v>80500</v>
      </c>
      <c r="AW3" s="30">
        <f t="shared" si="0"/>
        <v>82250</v>
      </c>
      <c r="AX3" s="30">
        <f t="shared" si="0"/>
        <v>84000</v>
      </c>
      <c r="AY3" s="30">
        <f t="shared" si="0"/>
        <v>85750</v>
      </c>
      <c r="AZ3" s="30">
        <f t="shared" si="0"/>
        <v>87500</v>
      </c>
      <c r="BA3" s="30">
        <f t="shared" si="0"/>
        <v>89250</v>
      </c>
      <c r="BB3" s="30">
        <f t="shared" si="0"/>
        <v>91000</v>
      </c>
      <c r="BC3" s="30">
        <f t="shared" si="0"/>
        <v>92750</v>
      </c>
      <c r="BD3" s="30">
        <f t="shared" si="0"/>
        <v>94500</v>
      </c>
      <c r="BE3" s="30">
        <f t="shared" si="0"/>
        <v>96250</v>
      </c>
      <c r="BF3" s="30">
        <f t="shared" si="0"/>
        <v>98000</v>
      </c>
      <c r="BG3" s="30">
        <f t="shared" si="0"/>
        <v>99750</v>
      </c>
      <c r="BH3" s="30">
        <f t="shared" si="0"/>
        <v>101500</v>
      </c>
      <c r="BI3" s="30">
        <f t="shared" si="0"/>
        <v>103250</v>
      </c>
    </row>
    <row r="4" spans="1:61">
      <c r="A4" s="1" t="str">
        <f>Launguage!$C$72</f>
        <v>Neuer Workflow mit Canon iPF</v>
      </c>
      <c r="B4" s="29">
        <f>Input!$K$12</f>
        <v>1000</v>
      </c>
      <c r="C4" s="29">
        <f>B4+$C$20</f>
        <v>1458.0373386716551</v>
      </c>
      <c r="D4" s="29">
        <f t="shared" ref="D4:BI4" si="1">C4+$C$20</f>
        <v>1916.0746773433102</v>
      </c>
      <c r="E4" s="29">
        <f t="shared" si="1"/>
        <v>2374.1120160149653</v>
      </c>
      <c r="F4" s="29">
        <f t="shared" si="1"/>
        <v>2832.1493546866204</v>
      </c>
      <c r="G4" s="29">
        <f t="shared" si="1"/>
        <v>3290.1866933582755</v>
      </c>
      <c r="H4" s="29">
        <f t="shared" si="1"/>
        <v>3748.2240320299306</v>
      </c>
      <c r="I4" s="29">
        <f t="shared" si="1"/>
        <v>4206.2613707015853</v>
      </c>
      <c r="J4" s="29">
        <f t="shared" si="1"/>
        <v>4664.2987093732399</v>
      </c>
      <c r="K4" s="29">
        <f t="shared" si="1"/>
        <v>5122.3360480448946</v>
      </c>
      <c r="L4" s="29">
        <f t="shared" si="1"/>
        <v>5580.3733867165492</v>
      </c>
      <c r="M4" s="29">
        <f t="shared" si="1"/>
        <v>6038.4107253882039</v>
      </c>
      <c r="N4" s="29">
        <f t="shared" si="1"/>
        <v>6496.4480640598586</v>
      </c>
      <c r="O4" s="29">
        <f t="shared" si="1"/>
        <v>6954.4854027315132</v>
      </c>
      <c r="P4" s="29">
        <f t="shared" si="1"/>
        <v>7412.5227414031679</v>
      </c>
      <c r="Q4" s="29">
        <f t="shared" si="1"/>
        <v>7870.5600800748225</v>
      </c>
      <c r="R4" s="29">
        <f t="shared" si="1"/>
        <v>8328.5974187464781</v>
      </c>
      <c r="S4" s="29">
        <f t="shared" si="1"/>
        <v>8786.6347574181327</v>
      </c>
      <c r="T4" s="29">
        <f t="shared" si="1"/>
        <v>9244.6720960897874</v>
      </c>
      <c r="U4" s="29">
        <f t="shared" si="1"/>
        <v>9702.709434761442</v>
      </c>
      <c r="V4" s="29">
        <f t="shared" si="1"/>
        <v>10160.746773433097</v>
      </c>
      <c r="W4" s="29">
        <f t="shared" si="1"/>
        <v>10618.784112104751</v>
      </c>
      <c r="X4" s="29">
        <f t="shared" si="1"/>
        <v>11076.821450776406</v>
      </c>
      <c r="Y4" s="29">
        <f t="shared" si="1"/>
        <v>11534.858789448061</v>
      </c>
      <c r="Z4" s="29">
        <f t="shared" si="1"/>
        <v>11992.896128119715</v>
      </c>
      <c r="AA4" s="29">
        <f t="shared" si="1"/>
        <v>12450.93346679137</v>
      </c>
      <c r="AB4" s="29">
        <f t="shared" si="1"/>
        <v>12908.970805463025</v>
      </c>
      <c r="AC4" s="29">
        <f t="shared" si="1"/>
        <v>13367.008144134679</v>
      </c>
      <c r="AD4" s="29">
        <f t="shared" si="1"/>
        <v>13825.045482806334</v>
      </c>
      <c r="AE4" s="29">
        <f t="shared" si="1"/>
        <v>14283.082821477989</v>
      </c>
      <c r="AF4" s="29">
        <f t="shared" si="1"/>
        <v>14741.120160149643</v>
      </c>
      <c r="AG4" s="29">
        <f t="shared" si="1"/>
        <v>15199.157498821298</v>
      </c>
      <c r="AH4" s="29">
        <f t="shared" si="1"/>
        <v>15657.194837492953</v>
      </c>
      <c r="AI4" s="29">
        <f t="shared" si="1"/>
        <v>16115.232176164607</v>
      </c>
      <c r="AJ4" s="29">
        <f t="shared" si="1"/>
        <v>16573.269514836262</v>
      </c>
      <c r="AK4" s="29">
        <f t="shared" si="1"/>
        <v>17031.306853507918</v>
      </c>
      <c r="AL4" s="29">
        <f t="shared" si="1"/>
        <v>17489.344192179575</v>
      </c>
      <c r="AM4" s="29">
        <f t="shared" si="1"/>
        <v>17947.381530851231</v>
      </c>
      <c r="AN4" s="29">
        <f t="shared" si="1"/>
        <v>18405.418869522888</v>
      </c>
      <c r="AO4" s="29">
        <f t="shared" si="1"/>
        <v>18863.456208194544</v>
      </c>
      <c r="AP4" s="29">
        <f t="shared" si="1"/>
        <v>19321.493546866201</v>
      </c>
      <c r="AQ4" s="29">
        <f t="shared" si="1"/>
        <v>19779.530885537857</v>
      </c>
      <c r="AR4" s="29">
        <f t="shared" si="1"/>
        <v>20237.568224209514</v>
      </c>
      <c r="AS4" s="29">
        <f t="shared" si="1"/>
        <v>20695.60556288117</v>
      </c>
      <c r="AT4" s="29">
        <f t="shared" si="1"/>
        <v>21153.642901552827</v>
      </c>
      <c r="AU4" s="29">
        <f t="shared" si="1"/>
        <v>21611.680240224483</v>
      </c>
      <c r="AV4" s="29">
        <f t="shared" si="1"/>
        <v>22069.717578896139</v>
      </c>
      <c r="AW4" s="29">
        <f t="shared" si="1"/>
        <v>22527.754917567796</v>
      </c>
      <c r="AX4" s="29">
        <f t="shared" si="1"/>
        <v>22985.792256239452</v>
      </c>
      <c r="AY4" s="29">
        <f t="shared" si="1"/>
        <v>23443.829594911109</v>
      </c>
      <c r="AZ4" s="29">
        <f t="shared" si="1"/>
        <v>23901.866933582765</v>
      </c>
      <c r="BA4" s="29">
        <f t="shared" si="1"/>
        <v>24359.904272254422</v>
      </c>
      <c r="BB4" s="29">
        <f t="shared" si="1"/>
        <v>24817.941610926078</v>
      </c>
      <c r="BC4" s="29">
        <f t="shared" si="1"/>
        <v>25275.978949597735</v>
      </c>
      <c r="BD4" s="29">
        <f t="shared" si="1"/>
        <v>25734.016288269391</v>
      </c>
      <c r="BE4" s="29">
        <f t="shared" si="1"/>
        <v>26192.053626941048</v>
      </c>
      <c r="BF4" s="29">
        <f t="shared" si="1"/>
        <v>26650.090965612704</v>
      </c>
      <c r="BG4" s="29">
        <f t="shared" si="1"/>
        <v>27108.128304284361</v>
      </c>
      <c r="BH4" s="29">
        <f t="shared" si="1"/>
        <v>27566.165642956017</v>
      </c>
      <c r="BI4" s="29">
        <f t="shared" si="1"/>
        <v>28024.202981627674</v>
      </c>
    </row>
    <row r="5" spans="1:61">
      <c r="A5" s="1" t="s">
        <v>130</v>
      </c>
      <c r="B5" s="29">
        <f>B3-B4</f>
        <v>-1000</v>
      </c>
      <c r="C5" s="29">
        <f t="shared" ref="C5:BI5" si="2">C3-C4</f>
        <v>291.96266132834489</v>
      </c>
      <c r="D5" s="29">
        <f t="shared" si="2"/>
        <v>1583.9253226566898</v>
      </c>
      <c r="E5" s="29">
        <f t="shared" si="2"/>
        <v>2875.8879839850347</v>
      </c>
      <c r="F5" s="29">
        <f t="shared" si="2"/>
        <v>4167.8506453133796</v>
      </c>
      <c r="G5" s="29">
        <f t="shared" si="2"/>
        <v>5459.8133066417249</v>
      </c>
      <c r="H5" s="29">
        <f t="shared" si="2"/>
        <v>6751.7759679700694</v>
      </c>
      <c r="I5" s="29">
        <f t="shared" si="2"/>
        <v>8043.7386292984147</v>
      </c>
      <c r="J5" s="29">
        <f t="shared" si="2"/>
        <v>9335.7012906267591</v>
      </c>
      <c r="K5" s="29">
        <f t="shared" si="2"/>
        <v>10627.663951955106</v>
      </c>
      <c r="L5" s="29">
        <f t="shared" si="2"/>
        <v>11919.62661328345</v>
      </c>
      <c r="M5" s="29">
        <f>ROUND(M3-M4,0)</f>
        <v>13212</v>
      </c>
      <c r="N5" s="29">
        <f t="shared" si="2"/>
        <v>14503.551935940141</v>
      </c>
      <c r="O5" s="29">
        <f t="shared" si="2"/>
        <v>15795.514597268488</v>
      </c>
      <c r="P5" s="29">
        <f t="shared" si="2"/>
        <v>17087.477258596831</v>
      </c>
      <c r="Q5" s="29">
        <f t="shared" si="2"/>
        <v>18379.439919925178</v>
      </c>
      <c r="R5" s="29">
        <f t="shared" si="2"/>
        <v>19671.402581253522</v>
      </c>
      <c r="S5" s="29">
        <f t="shared" si="2"/>
        <v>20963.365242581865</v>
      </c>
      <c r="T5" s="29">
        <f t="shared" si="2"/>
        <v>22255.327903910213</v>
      </c>
      <c r="U5" s="29">
        <f t="shared" si="2"/>
        <v>23547.29056523856</v>
      </c>
      <c r="V5" s="29">
        <f t="shared" si="2"/>
        <v>24839.253226566903</v>
      </c>
      <c r="W5" s="29">
        <f t="shared" si="2"/>
        <v>26131.215887895247</v>
      </c>
      <c r="X5" s="29">
        <f t="shared" si="2"/>
        <v>27423.178549223594</v>
      </c>
      <c r="Y5" s="29">
        <f t="shared" si="2"/>
        <v>28715.141210551941</v>
      </c>
      <c r="Z5" s="29">
        <f t="shared" si="2"/>
        <v>30007.103871880285</v>
      </c>
      <c r="AA5" s="29">
        <f t="shared" si="2"/>
        <v>31299.066533208628</v>
      </c>
      <c r="AB5" s="29">
        <f t="shared" si="2"/>
        <v>32591.029194536975</v>
      </c>
      <c r="AC5" s="29">
        <f t="shared" si="2"/>
        <v>33882.991855865323</v>
      </c>
      <c r="AD5" s="29">
        <f t="shared" si="2"/>
        <v>35174.954517193662</v>
      </c>
      <c r="AE5" s="29">
        <f t="shared" si="2"/>
        <v>36466.91717852201</v>
      </c>
      <c r="AF5" s="29">
        <f t="shared" si="2"/>
        <v>37758.879839850357</v>
      </c>
      <c r="AG5" s="29">
        <f t="shared" si="2"/>
        <v>39050.842501178704</v>
      </c>
      <c r="AH5" s="29">
        <f t="shared" si="2"/>
        <v>40342.805162507051</v>
      </c>
      <c r="AI5" s="29">
        <f t="shared" si="2"/>
        <v>41634.767823835391</v>
      </c>
      <c r="AJ5" s="29">
        <f t="shared" si="2"/>
        <v>42926.730485163738</v>
      </c>
      <c r="AK5" s="29">
        <f t="shared" si="2"/>
        <v>44218.693146492078</v>
      </c>
      <c r="AL5" s="29">
        <f t="shared" si="2"/>
        <v>45510.655807820425</v>
      </c>
      <c r="AM5" s="29">
        <f t="shared" si="2"/>
        <v>46802.618469148772</v>
      </c>
      <c r="AN5" s="29">
        <f t="shared" si="2"/>
        <v>48094.581130477112</v>
      </c>
      <c r="AO5" s="29">
        <f t="shared" si="2"/>
        <v>49386.543791805452</v>
      </c>
      <c r="AP5" s="29">
        <f t="shared" si="2"/>
        <v>50678.506453133799</v>
      </c>
      <c r="AQ5" s="29">
        <f t="shared" si="2"/>
        <v>51970.469114462147</v>
      </c>
      <c r="AR5" s="29">
        <f t="shared" si="2"/>
        <v>53262.431775790486</v>
      </c>
      <c r="AS5" s="29">
        <f t="shared" si="2"/>
        <v>54554.394437118826</v>
      </c>
      <c r="AT5" s="29">
        <f t="shared" si="2"/>
        <v>55846.357098447173</v>
      </c>
      <c r="AU5" s="29">
        <f t="shared" si="2"/>
        <v>57138.319759775521</v>
      </c>
      <c r="AV5" s="29">
        <f t="shared" si="2"/>
        <v>58430.282421103861</v>
      </c>
      <c r="AW5" s="29">
        <f t="shared" si="2"/>
        <v>59722.2450824322</v>
      </c>
      <c r="AX5" s="29">
        <f t="shared" si="2"/>
        <v>61014.207743760548</v>
      </c>
      <c r="AY5" s="29">
        <f t="shared" si="2"/>
        <v>62306.170405088895</v>
      </c>
      <c r="AZ5" s="29">
        <f t="shared" si="2"/>
        <v>63598.133066417235</v>
      </c>
      <c r="BA5" s="29">
        <f t="shared" si="2"/>
        <v>64890.095727745575</v>
      </c>
      <c r="BB5" s="29">
        <f t="shared" si="2"/>
        <v>66182.058389073922</v>
      </c>
      <c r="BC5" s="29">
        <f t="shared" si="2"/>
        <v>67474.021050402269</v>
      </c>
      <c r="BD5" s="29">
        <f t="shared" si="2"/>
        <v>68765.983711730601</v>
      </c>
      <c r="BE5" s="29">
        <f t="shared" si="2"/>
        <v>70057.946373058949</v>
      </c>
      <c r="BF5" s="29">
        <f t="shared" si="2"/>
        <v>71349.909034387296</v>
      </c>
      <c r="BG5" s="29">
        <f t="shared" si="2"/>
        <v>72641.871695715643</v>
      </c>
      <c r="BH5" s="29">
        <f t="shared" si="2"/>
        <v>73933.83435704399</v>
      </c>
      <c r="BI5" s="29">
        <f t="shared" si="2"/>
        <v>75225.797018372323</v>
      </c>
    </row>
    <row r="6" spans="1:61">
      <c r="B6" s="29">
        <f>B4</f>
        <v>1000</v>
      </c>
      <c r="C6" s="29">
        <f t="shared" ref="C6:BI6" si="3">C4</f>
        <v>1458.0373386716551</v>
      </c>
      <c r="D6" s="29">
        <f t="shared" si="3"/>
        <v>1916.0746773433102</v>
      </c>
      <c r="E6" s="29">
        <f t="shared" si="3"/>
        <v>2374.1120160149653</v>
      </c>
      <c r="F6" s="29">
        <f t="shared" si="3"/>
        <v>2832.1493546866204</v>
      </c>
      <c r="G6" s="29">
        <f t="shared" si="3"/>
        <v>3290.1866933582755</v>
      </c>
      <c r="H6" s="29">
        <f t="shared" si="3"/>
        <v>3748.2240320299306</v>
      </c>
      <c r="I6" s="29">
        <f t="shared" si="3"/>
        <v>4206.2613707015853</v>
      </c>
      <c r="J6" s="29">
        <f t="shared" si="3"/>
        <v>4664.2987093732399</v>
      </c>
      <c r="K6" s="29">
        <f t="shared" si="3"/>
        <v>5122.3360480448946</v>
      </c>
      <c r="L6" s="29">
        <f t="shared" si="3"/>
        <v>5580.3733867165492</v>
      </c>
      <c r="M6" s="29">
        <f t="shared" si="3"/>
        <v>6038.4107253882039</v>
      </c>
      <c r="N6" s="29">
        <f t="shared" si="3"/>
        <v>6496.4480640598586</v>
      </c>
      <c r="O6" s="29">
        <f t="shared" si="3"/>
        <v>6954.4854027315132</v>
      </c>
      <c r="P6" s="29">
        <f t="shared" si="3"/>
        <v>7412.5227414031679</v>
      </c>
      <c r="Q6" s="29">
        <f t="shared" si="3"/>
        <v>7870.5600800748225</v>
      </c>
      <c r="R6" s="29">
        <f t="shared" si="3"/>
        <v>8328.5974187464781</v>
      </c>
      <c r="S6" s="29">
        <f t="shared" si="3"/>
        <v>8786.6347574181327</v>
      </c>
      <c r="T6" s="29">
        <f t="shared" si="3"/>
        <v>9244.6720960897874</v>
      </c>
      <c r="U6" s="29">
        <f t="shared" si="3"/>
        <v>9702.709434761442</v>
      </c>
      <c r="V6" s="29">
        <f t="shared" si="3"/>
        <v>10160.746773433097</v>
      </c>
      <c r="W6" s="29">
        <f t="shared" si="3"/>
        <v>10618.784112104751</v>
      </c>
      <c r="X6" s="29">
        <f t="shared" si="3"/>
        <v>11076.821450776406</v>
      </c>
      <c r="Y6" s="29">
        <f t="shared" si="3"/>
        <v>11534.858789448061</v>
      </c>
      <c r="Z6" s="29">
        <f t="shared" si="3"/>
        <v>11992.896128119715</v>
      </c>
      <c r="AA6" s="29">
        <f t="shared" si="3"/>
        <v>12450.93346679137</v>
      </c>
      <c r="AB6" s="29">
        <f t="shared" si="3"/>
        <v>12908.970805463025</v>
      </c>
      <c r="AC6" s="29">
        <f t="shared" si="3"/>
        <v>13367.008144134679</v>
      </c>
      <c r="AD6" s="29">
        <f t="shared" si="3"/>
        <v>13825.045482806334</v>
      </c>
      <c r="AE6" s="29">
        <f t="shared" si="3"/>
        <v>14283.082821477989</v>
      </c>
      <c r="AF6" s="29">
        <f t="shared" si="3"/>
        <v>14741.120160149643</v>
      </c>
      <c r="AG6" s="29">
        <f t="shared" si="3"/>
        <v>15199.157498821298</v>
      </c>
      <c r="AH6" s="29">
        <f t="shared" si="3"/>
        <v>15657.194837492953</v>
      </c>
      <c r="AI6" s="29">
        <f t="shared" si="3"/>
        <v>16115.232176164607</v>
      </c>
      <c r="AJ6" s="29">
        <f t="shared" si="3"/>
        <v>16573.269514836262</v>
      </c>
      <c r="AK6" s="29">
        <f t="shared" si="3"/>
        <v>17031.306853507918</v>
      </c>
      <c r="AL6" s="29">
        <f t="shared" si="3"/>
        <v>17489.344192179575</v>
      </c>
      <c r="AM6" s="29">
        <f t="shared" si="3"/>
        <v>17947.381530851231</v>
      </c>
      <c r="AN6" s="29">
        <f t="shared" si="3"/>
        <v>18405.418869522888</v>
      </c>
      <c r="AO6" s="29">
        <f t="shared" si="3"/>
        <v>18863.456208194544</v>
      </c>
      <c r="AP6" s="29">
        <f t="shared" si="3"/>
        <v>19321.493546866201</v>
      </c>
      <c r="AQ6" s="29">
        <f t="shared" si="3"/>
        <v>19779.530885537857</v>
      </c>
      <c r="AR6" s="29">
        <f t="shared" si="3"/>
        <v>20237.568224209514</v>
      </c>
      <c r="AS6" s="29">
        <f t="shared" si="3"/>
        <v>20695.60556288117</v>
      </c>
      <c r="AT6" s="29">
        <f t="shared" si="3"/>
        <v>21153.642901552827</v>
      </c>
      <c r="AU6" s="29">
        <f t="shared" si="3"/>
        <v>21611.680240224483</v>
      </c>
      <c r="AV6" s="29">
        <f t="shared" si="3"/>
        <v>22069.717578896139</v>
      </c>
      <c r="AW6" s="29">
        <f t="shared" si="3"/>
        <v>22527.754917567796</v>
      </c>
      <c r="AX6" s="29">
        <f t="shared" si="3"/>
        <v>22985.792256239452</v>
      </c>
      <c r="AY6" s="29">
        <f t="shared" si="3"/>
        <v>23443.829594911109</v>
      </c>
      <c r="AZ6" s="29">
        <f t="shared" si="3"/>
        <v>23901.866933582765</v>
      </c>
      <c r="BA6" s="29">
        <f t="shared" si="3"/>
        <v>24359.904272254422</v>
      </c>
      <c r="BB6" s="29">
        <f t="shared" si="3"/>
        <v>24817.941610926078</v>
      </c>
      <c r="BC6" s="29">
        <f t="shared" si="3"/>
        <v>25275.978949597735</v>
      </c>
      <c r="BD6" s="29">
        <f t="shared" si="3"/>
        <v>25734.016288269391</v>
      </c>
      <c r="BE6" s="29">
        <f t="shared" si="3"/>
        <v>26192.053626941048</v>
      </c>
      <c r="BF6" s="29">
        <f t="shared" si="3"/>
        <v>26650.090965612704</v>
      </c>
      <c r="BG6" s="29">
        <f t="shared" si="3"/>
        <v>27108.128304284361</v>
      </c>
      <c r="BH6" s="29">
        <f t="shared" si="3"/>
        <v>27566.165642956017</v>
      </c>
      <c r="BI6" s="29">
        <f t="shared" si="3"/>
        <v>28024.202981627674</v>
      </c>
    </row>
    <row r="8" spans="1:61">
      <c r="B8" s="102" t="str">
        <f>Launguage!$C$49</f>
        <v>Aktuell</v>
      </c>
      <c r="C8" s="102" t="str">
        <f>Launguage!$C$50</f>
        <v>Neu</v>
      </c>
    </row>
    <row r="9" spans="1:61">
      <c r="A9" s="24" t="s">
        <v>114</v>
      </c>
      <c r="B9" s="28">
        <f>Input!D16</f>
        <v>1000</v>
      </c>
    </row>
    <row r="10" spans="1:61">
      <c r="A10" s="24" t="s">
        <v>115</v>
      </c>
      <c r="B10" s="28">
        <f>Input!D17</f>
        <v>700</v>
      </c>
    </row>
    <row r="11" spans="1:61">
      <c r="A11" s="24" t="s">
        <v>163</v>
      </c>
      <c r="B11" s="28">
        <f>Input!D18</f>
        <v>50</v>
      </c>
    </row>
    <row r="12" spans="1:61">
      <c r="A12" s="24" t="s">
        <v>156</v>
      </c>
      <c r="B12" s="28">
        <f>Input!D19</f>
        <v>0</v>
      </c>
    </row>
    <row r="13" spans="1:61">
      <c r="A13" s="24" t="s">
        <v>34</v>
      </c>
      <c r="C13" s="28">
        <f>backdata!D63</f>
        <v>280.93464490325374</v>
      </c>
    </row>
    <row r="14" spans="1:61">
      <c r="A14" s="24" t="s">
        <v>35</v>
      </c>
      <c r="C14" s="28">
        <f>backdata!D64</f>
        <v>11.385246135552915</v>
      </c>
    </row>
    <row r="15" spans="1:61">
      <c r="A15" s="24" t="s">
        <v>36</v>
      </c>
      <c r="C15" s="28">
        <f>backdata!D65</f>
        <v>107.9132822213013</v>
      </c>
    </row>
    <row r="16" spans="1:61">
      <c r="A16" s="25" t="s">
        <v>37</v>
      </c>
      <c r="C16" s="28">
        <f>backdata!D66</f>
        <v>0.88929845422116538</v>
      </c>
    </row>
    <row r="17" spans="1:5">
      <c r="A17" s="25" t="s">
        <v>1</v>
      </c>
      <c r="C17" s="28">
        <f>backdata!D67</f>
        <v>12.777777777777779</v>
      </c>
    </row>
    <row r="18" spans="1:5">
      <c r="A18" s="24" t="s">
        <v>53</v>
      </c>
      <c r="C18" s="28">
        <f>backdata!D68</f>
        <v>44.114149821640908</v>
      </c>
    </row>
    <row r="19" spans="1:5" ht="14" thickBot="1">
      <c r="A19" s="32" t="s">
        <v>116</v>
      </c>
      <c r="B19" s="33"/>
      <c r="C19" s="34">
        <f>backdata!D69</f>
        <v>2.2939357907253276E-2</v>
      </c>
    </row>
    <row r="20" spans="1:5" ht="14" thickTop="1">
      <c r="A20" s="1" t="s">
        <v>40</v>
      </c>
      <c r="B20" s="30">
        <f>SUM(B9:B19)</f>
        <v>1750</v>
      </c>
      <c r="C20" s="30">
        <f>SUM(C9:C19)</f>
        <v>458.03733867165505</v>
      </c>
      <c r="D20" s="30">
        <f>ROUND((1-C20/B20)*100,0)</f>
        <v>74</v>
      </c>
      <c r="E20" s="30">
        <f>IF((C20-B20)&lt;0,ROUND((C20-B20),0)*-1,)</f>
        <v>1292</v>
      </c>
    </row>
    <row r="23" spans="1:5">
      <c r="A23" s="1" t="s">
        <v>127</v>
      </c>
    </row>
    <row r="24" spans="1:5">
      <c r="A24" s="55" t="s">
        <v>117</v>
      </c>
      <c r="B24" s="56">
        <f>Input!D15*24</f>
        <v>72</v>
      </c>
    </row>
    <row r="25" spans="1:5">
      <c r="A25" s="55" t="s">
        <v>118</v>
      </c>
      <c r="B25" s="56">
        <f>backdata!D59</f>
        <v>2.2057074910820456</v>
      </c>
    </row>
    <row r="26" spans="1:5">
      <c r="A26" s="55" t="s">
        <v>128</v>
      </c>
      <c r="B26" s="56">
        <f>B24-B25</f>
        <v>69.794292508917948</v>
      </c>
      <c r="C26" s="1">
        <f>ROUND(B26/B24*100,0)</f>
        <v>97</v>
      </c>
    </row>
    <row r="27" spans="1:5">
      <c r="D27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34"/>
  <sheetViews>
    <sheetView showGridLines="0" zoomScale="85" zoomScaleNormal="85" workbookViewId="0">
      <pane xSplit="2" ySplit="2" topLeftCell="C63" activePane="bottomRight" state="frozen"/>
      <selection pane="topRight" activeCell="C1" sqref="C1"/>
      <selection pane="bottomLeft" activeCell="A3" sqref="A3"/>
      <selection pane="bottomRight" activeCell="C64" sqref="C64"/>
    </sheetView>
  </sheetViews>
  <sheetFormatPr baseColWidth="10" defaultColWidth="9.1640625" defaultRowHeight="13"/>
  <cols>
    <col min="1" max="1" width="4.1640625" style="23" bestFit="1" customWidth="1"/>
    <col min="2" max="2" width="15.6640625" style="23" customWidth="1"/>
    <col min="3" max="9" width="30.6640625" style="35" customWidth="1"/>
    <col min="10" max="10" width="32" style="35" customWidth="1"/>
    <col min="11" max="11" width="30.6640625" style="35" customWidth="1"/>
    <col min="12" max="16384" width="9.1640625" style="23"/>
  </cols>
  <sheetData>
    <row r="1" spans="1:11">
      <c r="A1" s="165">
        <v>1</v>
      </c>
      <c r="B1" s="165">
        <v>2</v>
      </c>
      <c r="C1" s="165">
        <v>3</v>
      </c>
      <c r="D1" s="165">
        <v>4</v>
      </c>
      <c r="E1" s="165">
        <v>5</v>
      </c>
      <c r="F1" s="165">
        <v>6</v>
      </c>
      <c r="G1" s="165">
        <v>7</v>
      </c>
      <c r="H1" s="165">
        <v>8</v>
      </c>
      <c r="I1" s="165">
        <v>9</v>
      </c>
      <c r="J1" s="165">
        <v>10</v>
      </c>
      <c r="K1" s="289">
        <v>11</v>
      </c>
    </row>
    <row r="2" spans="1:11" ht="21.75" customHeight="1">
      <c r="A2" s="165">
        <v>1</v>
      </c>
      <c r="B2" s="167" t="s">
        <v>191</v>
      </c>
      <c r="C2" s="282" t="s">
        <v>286</v>
      </c>
      <c r="D2" s="282" t="s">
        <v>184</v>
      </c>
      <c r="E2" s="282" t="s">
        <v>735</v>
      </c>
      <c r="F2" s="282" t="s">
        <v>307</v>
      </c>
      <c r="G2" s="282" t="s">
        <v>736</v>
      </c>
      <c r="H2" s="282" t="s">
        <v>739</v>
      </c>
      <c r="I2" s="282" t="s">
        <v>737</v>
      </c>
      <c r="J2" s="282" t="s">
        <v>738</v>
      </c>
      <c r="K2" s="290"/>
    </row>
    <row r="3" spans="1:11" ht="28">
      <c r="A3" s="165">
        <v>2</v>
      </c>
      <c r="B3" s="302" t="s">
        <v>186</v>
      </c>
      <c r="C3" s="283" t="str">
        <f>IF(Input!$D$24=Launguage!$D$2,D3,IF(Input!$D$24=Launguage!$E$2,E3,IF(Input!$D$24=Launguage!$F$2,F3,IF(Input!$D$24=Launguage!$G$2,G3,IF(Input!$D$24=Launguage!$H$2,H3,IF(Input!$D$24=Launguage!$I$2,I3,IF(Input!$D$24=Launguage!$J$2,J3,K3)))))))</f>
        <v>Aktueller Workflow mit Outsourcing</v>
      </c>
      <c r="D3" s="287" t="s">
        <v>171</v>
      </c>
      <c r="E3" s="287" t="s">
        <v>308</v>
      </c>
      <c r="F3" s="287" t="s">
        <v>185</v>
      </c>
      <c r="G3" s="287" t="s">
        <v>379</v>
      </c>
      <c r="H3" s="287" t="s">
        <v>473</v>
      </c>
      <c r="I3" s="287" t="s">
        <v>551</v>
      </c>
      <c r="J3" s="287" t="s">
        <v>630</v>
      </c>
      <c r="K3" s="291"/>
    </row>
    <row r="4" spans="1:11" ht="28">
      <c r="A4" s="165">
        <v>3</v>
      </c>
      <c r="B4" s="302"/>
      <c r="C4" s="283" t="str">
        <f>IF(Input!$D$24=Launguage!$D$2,D4,IF(Input!$D$24=Launguage!$E$2,E4,IF(Input!$D$24=Launguage!$F$2,F4,IF(Input!$D$24=Launguage!$G$2,G4,IF(Input!$D$24=Launguage!$H$2,H4,IF(Input!$D$24=Launguage!$I$2,I4,IF(Input!$D$24=Launguage!$J$2,J4,K4)))))))</f>
        <v>Neuer Workflow mit Canon iPF</v>
      </c>
      <c r="D4" s="287" t="s">
        <v>57</v>
      </c>
      <c r="E4" s="287" t="s">
        <v>309</v>
      </c>
      <c r="F4" s="287" t="s">
        <v>192</v>
      </c>
      <c r="G4" s="287" t="s">
        <v>380</v>
      </c>
      <c r="H4" s="287" t="s">
        <v>474</v>
      </c>
      <c r="I4" s="287" t="s">
        <v>552</v>
      </c>
      <c r="J4" s="287" t="s">
        <v>631</v>
      </c>
      <c r="K4" s="291"/>
    </row>
    <row r="5" spans="1:11" ht="14">
      <c r="A5" s="165">
        <v>4</v>
      </c>
      <c r="B5" s="302"/>
      <c r="C5" s="284" t="str">
        <f>IF(Input!$D$24=Launguage!$D$2,D5,IF(Input!$D$24=Launguage!$E$2,E5,IF(Input!$D$24=Launguage!$F$2,F5,IF(Input!$D$24=Launguage!$G$2,G5,IF(Input!$D$24=Launguage!$H$2,H5,IF(Input!$D$24=Launguage!$I$2,I5,IF(Input!$D$24=Launguage!$J$2,J5,K5)))))))</f>
        <v>Währung in</v>
      </c>
      <c r="D5" s="180" t="s">
        <v>282</v>
      </c>
      <c r="E5" s="180" t="s">
        <v>310</v>
      </c>
      <c r="F5" s="180" t="s">
        <v>283</v>
      </c>
      <c r="G5" s="180" t="s">
        <v>381</v>
      </c>
      <c r="H5" s="180" t="s">
        <v>475</v>
      </c>
      <c r="I5" s="180" t="s">
        <v>475</v>
      </c>
      <c r="J5" s="180" t="s">
        <v>632</v>
      </c>
      <c r="K5" s="292"/>
    </row>
    <row r="6" spans="1:11" ht="42">
      <c r="A6" s="165">
        <v>5</v>
      </c>
      <c r="B6" s="302"/>
      <c r="C6" s="284" t="str">
        <f>IF(Input!$D$24=Launguage!$D$2,D6,IF(Input!$D$24=Launguage!$E$2,E6,IF(Input!$D$24=Launguage!$F$2,F6,IF(Input!$D$24=Launguage!$G$2,G6,IF(Input!$D$24=Launguage!$H$2,H6,IF(Input!$D$24=Launguage!$I$2,I6,IF(Input!$D$24=Launguage!$J$2,J6,K6)))))))</f>
        <v>Zahlen in nachstehender Tabelle eintragen und/oder auswählen (rot hervorgehobene Zellen)</v>
      </c>
      <c r="D6" s="180" t="s">
        <v>107</v>
      </c>
      <c r="E6" s="180" t="s">
        <v>311</v>
      </c>
      <c r="F6" s="180" t="s">
        <v>197</v>
      </c>
      <c r="G6" s="180" t="s">
        <v>382</v>
      </c>
      <c r="H6" s="180" t="s">
        <v>476</v>
      </c>
      <c r="I6" s="180" t="s">
        <v>553</v>
      </c>
      <c r="J6" s="180" t="s">
        <v>635</v>
      </c>
      <c r="K6" s="293"/>
    </row>
    <row r="7" spans="1:11" ht="14">
      <c r="A7" s="165">
        <v>6</v>
      </c>
      <c r="B7" s="302"/>
      <c r="C7" s="283" t="str">
        <f>IF(Input!$D$24=Launguage!$D$2,D7,IF(Input!$D$24=Launguage!$E$2,E7,IF(Input!$D$24=Launguage!$F$2,F7,IF(Input!$D$24=Launguage!$G$2,G7,IF(Input!$D$24=Launguage!$H$2,H7,IF(Input!$D$24=Launguage!$I$2,I7,IF(Input!$D$24=Launguage!$J$2,J7,K7)))))))</f>
        <v>Druckauftrag</v>
      </c>
      <c r="D7" s="283" t="s">
        <v>58</v>
      </c>
      <c r="E7" s="283" t="s">
        <v>312</v>
      </c>
      <c r="F7" s="283" t="s">
        <v>194</v>
      </c>
      <c r="G7" s="283" t="s">
        <v>383</v>
      </c>
      <c r="H7" s="283" t="s">
        <v>477</v>
      </c>
      <c r="I7" s="283" t="s">
        <v>554</v>
      </c>
      <c r="J7" s="283" t="s">
        <v>636</v>
      </c>
      <c r="K7" s="294"/>
    </row>
    <row r="8" spans="1:11" ht="14">
      <c r="A8" s="165">
        <v>7</v>
      </c>
      <c r="B8" s="302"/>
      <c r="C8" s="285" t="str">
        <f>IF(Input!$D$24=Launguage!$D$2,D8,IF(Input!$D$24=Launguage!$E$2,E8,IF(Input!$D$24=Launguage!$F$2,F8,IF(Input!$D$24=Launguage!$G$2,G8,IF(Input!$D$24=Launguage!$H$2,H8,IF(Input!$D$24=Launguage!$I$2,I8,IF(Input!$D$24=Launguage!$J$2,J8,K8)))))))</f>
        <v>Ausgabegröße</v>
      </c>
      <c r="D8" s="288" t="s">
        <v>59</v>
      </c>
      <c r="E8" s="288" t="s">
        <v>313</v>
      </c>
      <c r="F8" s="288" t="s">
        <v>195</v>
      </c>
      <c r="G8" s="288" t="s">
        <v>384</v>
      </c>
      <c r="H8" s="288" t="s">
        <v>478</v>
      </c>
      <c r="I8" s="288" t="s">
        <v>555</v>
      </c>
      <c r="J8" s="288" t="s">
        <v>637</v>
      </c>
      <c r="K8" s="295"/>
    </row>
    <row r="9" spans="1:11" ht="28">
      <c r="A9" s="165">
        <v>8</v>
      </c>
      <c r="B9" s="302"/>
      <c r="C9" s="285" t="str">
        <f>IF(Input!$D$24=Launguage!$D$2,D9,IF(Input!$D$24=Launguage!$E$2,E9,IF(Input!$D$24=Launguage!$F$2,F9,IF(Input!$D$24=Launguage!$G$2,G9,IF(Input!$D$24=Launguage!$H$2,H9,IF(Input!$D$24=Launguage!$I$2,I9,IF(Input!$D$24=Launguage!$J$2,J9,K9)))))))</f>
        <v>Anzahl der Drucke (Blatt pro Monat)</v>
      </c>
      <c r="D9" s="288" t="s">
        <v>301</v>
      </c>
      <c r="E9" s="288" t="s">
        <v>773</v>
      </c>
      <c r="F9" s="288" t="s">
        <v>302</v>
      </c>
      <c r="G9" s="288" t="s">
        <v>469</v>
      </c>
      <c r="H9" s="288" t="s">
        <v>751</v>
      </c>
      <c r="I9" s="288" t="s">
        <v>750</v>
      </c>
      <c r="J9" s="288" t="s">
        <v>638</v>
      </c>
      <c r="K9" s="295"/>
    </row>
    <row r="10" spans="1:11" ht="14">
      <c r="A10" s="165">
        <v>9</v>
      </c>
      <c r="B10" s="302"/>
      <c r="C10" s="285" t="str">
        <f>IF(Input!$D$24=Launguage!$D$2,D10,IF(Input!$D$24=Launguage!$E$2,E10,IF(Input!$D$24=Launguage!$F$2,F10,IF(Input!$D$24=Launguage!$G$2,G10,IF(Input!$D$24=Launguage!$H$2,H10,IF(Input!$D$24=Launguage!$I$2,I10,IF(Input!$D$24=Launguage!$J$2,J10,K10)))))))</f>
        <v>Typ des Druckbilds</v>
      </c>
      <c r="D10" s="288" t="s">
        <v>152</v>
      </c>
      <c r="E10" s="288" t="s">
        <v>314</v>
      </c>
      <c r="F10" s="288" t="s">
        <v>196</v>
      </c>
      <c r="G10" s="288" t="s">
        <v>385</v>
      </c>
      <c r="H10" s="288" t="s">
        <v>479</v>
      </c>
      <c r="I10" s="288" t="s">
        <v>556</v>
      </c>
      <c r="J10" s="288" t="s">
        <v>639</v>
      </c>
      <c r="K10" s="295"/>
    </row>
    <row r="11" spans="1:11" ht="14">
      <c r="A11" s="165">
        <v>10</v>
      </c>
      <c r="B11" s="302"/>
      <c r="C11" s="285" t="str">
        <f>IF(Input!$D$24=Launguage!$D$2,D11,IF(Input!$D$24=Launguage!$E$2,E11,IF(Input!$D$24=Launguage!$F$2,F11,IF(Input!$D$24=Launguage!$G$2,G11,IF(Input!$D$24=Launguage!$H$2,H11,IF(Input!$D$24=Launguage!$I$2,I11,IF(Input!$D$24=Launguage!$J$2,J11,K11)))))))</f>
        <v>Druckmedientyp</v>
      </c>
      <c r="D11" s="288" t="s">
        <v>181</v>
      </c>
      <c r="E11" s="288" t="s">
        <v>372</v>
      </c>
      <c r="F11" s="288" t="s">
        <v>268</v>
      </c>
      <c r="G11" s="288" t="s">
        <v>445</v>
      </c>
      <c r="H11" s="288" t="s">
        <v>542</v>
      </c>
      <c r="I11" s="288" t="s">
        <v>612</v>
      </c>
      <c r="J11" s="288" t="s">
        <v>703</v>
      </c>
      <c r="K11" s="295"/>
    </row>
    <row r="12" spans="1:11" ht="28">
      <c r="A12" s="165">
        <v>11</v>
      </c>
      <c r="B12" s="302"/>
      <c r="C12" s="285" t="str">
        <f>IF(Input!$D$24=Launguage!$D$2,D12,IF(Input!$D$24=Launguage!$E$2,E12,IF(Input!$D$24=Launguage!$F$2,F12,IF(Input!$D$24=Launguage!$G$2,G12,IF(Input!$D$24=Launguage!$H$2,H12,IF(Input!$D$24=Launguage!$I$2,I12,IF(Input!$D$24=Launguage!$J$2,J12,K12)))))))</f>
        <v>Bevorzugte Ausgabegröße auswählen</v>
      </c>
      <c r="D12" s="288" t="s">
        <v>189</v>
      </c>
      <c r="E12" s="288" t="s">
        <v>745</v>
      </c>
      <c r="F12" s="288" t="s">
        <v>199</v>
      </c>
      <c r="G12" s="288" t="s">
        <v>743</v>
      </c>
      <c r="H12" s="288" t="s">
        <v>480</v>
      </c>
      <c r="I12" s="288" t="s">
        <v>744</v>
      </c>
      <c r="J12" s="288" t="s">
        <v>640</v>
      </c>
      <c r="K12" s="295"/>
    </row>
    <row r="13" spans="1:11" ht="14">
      <c r="A13" s="165">
        <v>12</v>
      </c>
      <c r="B13" s="302"/>
      <c r="C13" s="285" t="str">
        <f>IF(Input!$D$24=Launguage!$D$2,D13,IF(Input!$D$24=Launguage!$E$2,E13,IF(Input!$D$24=Launguage!$F$2,F13,IF(Input!$D$24=Launguage!$G$2,G13,IF(Input!$D$24=Launguage!$H$2,H13,IF(Input!$D$24=Launguage!$I$2,I13,IF(Input!$D$24=Launguage!$J$2,J13,K13)))))))</f>
        <v>Blatt</v>
      </c>
      <c r="D13" s="288" t="s">
        <v>187</v>
      </c>
      <c r="E13" s="288" t="s">
        <v>315</v>
      </c>
      <c r="F13" s="288" t="s">
        <v>198</v>
      </c>
      <c r="G13" s="288" t="s">
        <v>386</v>
      </c>
      <c r="H13" s="288" t="s">
        <v>481</v>
      </c>
      <c r="I13" s="288" t="s">
        <v>557</v>
      </c>
      <c r="J13" s="288" t="s">
        <v>641</v>
      </c>
      <c r="K13" s="295"/>
    </row>
    <row r="14" spans="1:11" ht="14">
      <c r="A14" s="165">
        <v>13</v>
      </c>
      <c r="B14" s="302"/>
      <c r="C14" s="283" t="str">
        <f>IF(Input!$D$24=Launguage!$D$2,D14,IF(Input!$D$24=Launguage!$E$2,E14,IF(Input!$D$24=Launguage!$F$2,F14,IF(Input!$D$24=Launguage!$G$2,G14,IF(Input!$D$24=Launguage!$H$2,H14,IF(Input!$D$24=Launguage!$I$2,I14,IF(Input!$D$24=Launguage!$J$2,J14,K14)))))))</f>
        <v>Outsourcing</v>
      </c>
      <c r="D14" s="283" t="s">
        <v>73</v>
      </c>
      <c r="E14" s="283" t="s">
        <v>73</v>
      </c>
      <c r="F14" s="283" t="s">
        <v>200</v>
      </c>
      <c r="G14" s="283" t="s">
        <v>387</v>
      </c>
      <c r="H14" s="283" t="s">
        <v>73</v>
      </c>
      <c r="I14" s="283" t="s">
        <v>558</v>
      </c>
      <c r="J14" s="283" t="s">
        <v>642</v>
      </c>
      <c r="K14" s="294"/>
    </row>
    <row r="15" spans="1:11" ht="28">
      <c r="A15" s="165">
        <v>14</v>
      </c>
      <c r="B15" s="302"/>
      <c r="C15" s="285" t="str">
        <f>IF(Input!$D$24=Launguage!$D$2,D15,IF(Input!$D$24=Launguage!$E$2,E15,IF(Input!$D$24=Launguage!$F$2,F15,IF(Input!$D$24=Launguage!$G$2,G15,IF(Input!$D$24=Launguage!$H$2,H15,IF(Input!$D$24=Launguage!$I$2,I15,IF(Input!$D$24=Launguage!$J$2,J15,K15)))))))</f>
        <v>Rücklaufdauer ab Bestellung(Tage)</v>
      </c>
      <c r="D15" s="288" t="s">
        <v>299</v>
      </c>
      <c r="E15" s="288" t="s">
        <v>774</v>
      </c>
      <c r="F15" s="288" t="s">
        <v>300</v>
      </c>
      <c r="G15" s="288" t="s">
        <v>470</v>
      </c>
      <c r="H15" s="288" t="s">
        <v>749</v>
      </c>
      <c r="I15" s="288" t="s">
        <v>741</v>
      </c>
      <c r="J15" s="288" t="s">
        <v>742</v>
      </c>
      <c r="K15" s="295"/>
    </row>
    <row r="16" spans="1:11" ht="13.5" customHeight="1">
      <c r="A16" s="165">
        <v>15</v>
      </c>
      <c r="B16" s="302"/>
      <c r="C16" s="285" t="str">
        <f>IF(Input!$D$24=Launguage!$D$2,D16,IF(Input!$D$24=Launguage!$E$2,E16,IF(Input!$D$24=Launguage!$F$2,F16,IF(Input!$D$24=Launguage!$G$2,G16,IF(Input!$D$24=Launguage!$H$2,H16,IF(Input!$D$24=Launguage!$I$2,I16,IF(Input!$D$24=Launguage!$J$2,J16,K16)))))))</f>
        <v>Kosten für Plakatgestaltung – pro Monat (A)</v>
      </c>
      <c r="D16" s="288" t="s">
        <v>132</v>
      </c>
      <c r="E16" s="288" t="s">
        <v>316</v>
      </c>
      <c r="F16" s="288" t="s">
        <v>201</v>
      </c>
      <c r="G16" s="288" t="s">
        <v>388</v>
      </c>
      <c r="H16" s="288" t="s">
        <v>482</v>
      </c>
      <c r="I16" s="288" t="s">
        <v>559</v>
      </c>
      <c r="J16" s="288" t="s">
        <v>643</v>
      </c>
      <c r="K16" s="295"/>
    </row>
    <row r="17" spans="1:11" ht="14">
      <c r="A17" s="165">
        <v>16</v>
      </c>
      <c r="B17" s="302"/>
      <c r="C17" s="285" t="str">
        <f>IF(Input!$D$24=Launguage!$D$2,D17,IF(Input!$D$24=Launguage!$E$2,E17,IF(Input!$D$24=Launguage!$F$2,F17,IF(Input!$D$24=Launguage!$G$2,G17,IF(Input!$D$24=Launguage!$H$2,H17,IF(Input!$D$24=Launguage!$I$2,I17,IF(Input!$D$24=Launguage!$J$2,J17,K17)))))))</f>
        <v>Druckkosten – pro Monat (B)</v>
      </c>
      <c r="D17" s="288" t="s">
        <v>131</v>
      </c>
      <c r="E17" s="288" t="s">
        <v>317</v>
      </c>
      <c r="F17" s="288" t="s">
        <v>202</v>
      </c>
      <c r="G17" s="288" t="s">
        <v>389</v>
      </c>
      <c r="H17" s="288" t="s">
        <v>483</v>
      </c>
      <c r="I17" s="288" t="s">
        <v>560</v>
      </c>
      <c r="J17" s="288" t="s">
        <v>644</v>
      </c>
      <c r="K17" s="295"/>
    </row>
    <row r="18" spans="1:11" ht="28">
      <c r="A18" s="165">
        <v>17</v>
      </c>
      <c r="B18" s="302"/>
      <c r="C18" s="285" t="str">
        <f>IF(Input!$D$24=Launguage!$D$2,D18,IF(Input!$D$24=Launguage!$E$2,E18,IF(Input!$D$24=Launguage!$F$2,F18,IF(Input!$D$24=Launguage!$G$2,G18,IF(Input!$D$24=Launguage!$H$2,H18,IF(Input!$D$24=Launguage!$I$2,I18,IF(Input!$D$24=Launguage!$J$2,J18,K18)))))))</f>
        <v>Transport/Frachtkosten – pro Monat ( C )</v>
      </c>
      <c r="D18" s="166" t="s">
        <v>160</v>
      </c>
      <c r="E18" s="166" t="s">
        <v>320</v>
      </c>
      <c r="F18" s="166" t="s">
        <v>285</v>
      </c>
      <c r="G18" s="166" t="s">
        <v>390</v>
      </c>
      <c r="H18" s="166" t="s">
        <v>484</v>
      </c>
      <c r="I18" s="166" t="s">
        <v>561</v>
      </c>
      <c r="J18" s="166" t="s">
        <v>645</v>
      </c>
      <c r="K18" s="295"/>
    </row>
    <row r="19" spans="1:11" ht="14">
      <c r="A19" s="165">
        <v>18</v>
      </c>
      <c r="B19" s="302"/>
      <c r="C19" s="285" t="str">
        <f>IF(Input!$D$24=Launguage!$D$2,D19,IF(Input!$D$24=Launguage!$E$2,E19,IF(Input!$D$24=Launguage!$F$2,F19,IF(Input!$D$24=Launguage!$G$2,G19,IF(Input!$D$24=Launguage!$H$2,H19,IF(Input!$D$24=Launguage!$I$2,I19,IF(Input!$D$24=Launguage!$J$2,J19,K19)))))))</f>
        <v>Leasingkosten – pro Monat (D)</v>
      </c>
      <c r="D19" s="166" t="s">
        <v>161</v>
      </c>
      <c r="E19" s="166" t="s">
        <v>318</v>
      </c>
      <c r="F19" s="166" t="s">
        <v>203</v>
      </c>
      <c r="G19" s="166" t="s">
        <v>391</v>
      </c>
      <c r="H19" s="166" t="s">
        <v>485</v>
      </c>
      <c r="I19" s="166" t="s">
        <v>562</v>
      </c>
      <c r="J19" s="166" t="s">
        <v>646</v>
      </c>
      <c r="K19" s="295"/>
    </row>
    <row r="20" spans="1:11" ht="28">
      <c r="A20" s="165">
        <v>19</v>
      </c>
      <c r="B20" s="302"/>
      <c r="C20" s="285" t="str">
        <f>IF(Input!$D$24=Launguage!$D$2,D20,IF(Input!$D$24=Launguage!$E$2,E20,IF(Input!$D$24=Launguage!$F$2,F20,IF(Input!$D$24=Launguage!$G$2,G20,IF(Input!$D$24=Launguage!$H$2,H20,IF(Input!$D$24=Launguage!$I$2,I20,IF(Input!$D$24=Launguage!$J$2,J20,K20)))))))</f>
        <v>Monatliche Gesamtkosten (A+B+C+D)</v>
      </c>
      <c r="D20" s="166" t="s">
        <v>162</v>
      </c>
      <c r="E20" s="166" t="s">
        <v>319</v>
      </c>
      <c r="F20" s="166" t="s">
        <v>284</v>
      </c>
      <c r="G20" s="166" t="s">
        <v>392</v>
      </c>
      <c r="H20" s="166" t="s">
        <v>486</v>
      </c>
      <c r="I20" s="166" t="s">
        <v>563</v>
      </c>
      <c r="J20" s="166" t="s">
        <v>647</v>
      </c>
      <c r="K20" s="295"/>
    </row>
    <row r="21" spans="1:11" ht="14">
      <c r="A21" s="165">
        <v>20</v>
      </c>
      <c r="B21" s="302"/>
      <c r="C21" s="283" t="str">
        <f>IF(Input!$D$24=Launguage!$D$2,D21,IF(Input!$D$24=Launguage!$E$2,E21,IF(Input!$D$24=Launguage!$F$2,F21,IF(Input!$D$24=Launguage!$G$2,G21,IF(Input!$D$24=Launguage!$H$2,H21,IF(Input!$D$24=Launguage!$I$2,I21,IF(Input!$D$24=Launguage!$J$2,J21,K21)))))))</f>
        <v>Basisszenario</v>
      </c>
      <c r="D21" s="283" t="s">
        <v>63</v>
      </c>
      <c r="E21" s="283" t="s">
        <v>321</v>
      </c>
      <c r="F21" s="283" t="s">
        <v>204</v>
      </c>
      <c r="G21" s="283" t="s">
        <v>393</v>
      </c>
      <c r="H21" s="283" t="s">
        <v>487</v>
      </c>
      <c r="I21" s="283" t="s">
        <v>564</v>
      </c>
      <c r="J21" s="283" t="s">
        <v>648</v>
      </c>
      <c r="K21" s="291"/>
    </row>
    <row r="22" spans="1:11" ht="14">
      <c r="A22" s="165">
        <v>21</v>
      </c>
      <c r="B22" s="302"/>
      <c r="C22" s="285" t="str">
        <f>IF(Input!$D$24=Launguage!$D$2,D22,IF(Input!$D$24=Launguage!$E$2,E22,IF(Input!$D$24=Launguage!$F$2,F22,IF(Input!$D$24=Launguage!$G$2,G22,IF(Input!$D$24=Launguage!$H$2,H22,IF(Input!$D$24=Launguage!$I$2,I22,IF(Input!$D$24=Launguage!$J$2,J22,K22)))))))</f>
        <v>Währung</v>
      </c>
      <c r="D22" s="166" t="s">
        <v>65</v>
      </c>
      <c r="E22" s="166" t="s">
        <v>322</v>
      </c>
      <c r="F22" s="166" t="s">
        <v>205</v>
      </c>
      <c r="G22" s="166" t="s">
        <v>394</v>
      </c>
      <c r="H22" s="166" t="s">
        <v>488</v>
      </c>
      <c r="I22" s="166" t="s">
        <v>488</v>
      </c>
      <c r="J22" s="166" t="s">
        <v>649</v>
      </c>
      <c r="K22" s="295"/>
    </row>
    <row r="23" spans="1:11" ht="28">
      <c r="A23" s="165">
        <v>22</v>
      </c>
      <c r="B23" s="302"/>
      <c r="C23" s="286" t="str">
        <f>IF(Input!$D$24=Launguage!$D$2,D23,IF(Input!$D$24=Launguage!$E$2,E23,IF(Input!$D$24=Launguage!$F$2,F23,IF(Input!$D$24=Launguage!$G$2,G23,IF(Input!$D$24=Launguage!$H$2,H23,IF(Input!$D$24=Launguage!$I$2,I23,IF(Input!$D$24=Launguage!$J$2,J23,K23)))))))</f>
        <v xml:space="preserve"> Währung auswählen</v>
      </c>
      <c r="D23" s="169" t="s">
        <v>188</v>
      </c>
      <c r="E23" s="169" t="s">
        <v>323</v>
      </c>
      <c r="F23" s="169" t="s">
        <v>206</v>
      </c>
      <c r="G23" s="169" t="s">
        <v>395</v>
      </c>
      <c r="H23" s="169" t="s">
        <v>489</v>
      </c>
      <c r="I23" s="169" t="s">
        <v>565</v>
      </c>
      <c r="J23" s="169" t="s">
        <v>650</v>
      </c>
      <c r="K23" s="296"/>
    </row>
    <row r="24" spans="1:11" ht="14">
      <c r="A24" s="165">
        <v>23</v>
      </c>
      <c r="B24" s="302"/>
      <c r="C24" s="286" t="str">
        <f>IF(Input!$D$24=Launguage!$D$2,D24,IF(Input!$D$24=Launguage!$E$2,E24,IF(Input!$D$24=Launguage!$F$2,F24,IF(Input!$D$24=Launguage!$G$2,G24,IF(Input!$D$24=Launguage!$H$2,H24,IF(Input!$D$24=Launguage!$I$2,I24,IF(Input!$D$24=Launguage!$J$2,J24,K24)))))))</f>
        <v>Bemerkung</v>
      </c>
      <c r="D24" s="169" t="s">
        <v>54</v>
      </c>
      <c r="E24" s="169" t="s">
        <v>324</v>
      </c>
      <c r="F24" s="169" t="s">
        <v>193</v>
      </c>
      <c r="G24" s="169" t="s">
        <v>396</v>
      </c>
      <c r="H24" s="169" t="s">
        <v>490</v>
      </c>
      <c r="I24" s="169" t="s">
        <v>566</v>
      </c>
      <c r="J24" s="169" t="s">
        <v>651</v>
      </c>
      <c r="K24" s="296"/>
    </row>
    <row r="25" spans="1:11" ht="14">
      <c r="A25" s="165">
        <v>24</v>
      </c>
      <c r="B25" s="302"/>
      <c r="C25" s="283" t="str">
        <f>IF(Input!$D$24=Launguage!$D$2,D25,IF(Input!$D$24=Launguage!$E$2,E25,IF(Input!$D$24=Launguage!$F$2,F25,IF(Input!$D$24=Launguage!$G$2,G25,IF(Input!$D$24=Launguage!$H$2,H25,IF(Input!$D$24=Launguage!$I$2,I25,IF(Input!$D$24=Launguage!$J$2,J25,K25)))))))</f>
        <v>Hardware</v>
      </c>
      <c r="D25" s="283" t="s">
        <v>60</v>
      </c>
      <c r="E25" s="283" t="s">
        <v>60</v>
      </c>
      <c r="F25" s="283" t="s">
        <v>60</v>
      </c>
      <c r="G25" s="283" t="s">
        <v>397</v>
      </c>
      <c r="H25" s="283" t="s">
        <v>60</v>
      </c>
      <c r="I25" s="283" t="s">
        <v>60</v>
      </c>
      <c r="J25" s="283" t="s">
        <v>652</v>
      </c>
      <c r="K25" s="294"/>
    </row>
    <row r="26" spans="1:11" ht="14">
      <c r="A26" s="165">
        <v>25</v>
      </c>
      <c r="B26" s="302"/>
      <c r="C26" s="285" t="str">
        <f>IF(Input!$D$24=Launguage!$D$2,D26,IF(Input!$D$24=Launguage!$E$2,E26,IF(Input!$D$24=Launguage!$F$2,F26,IF(Input!$D$24=Launguage!$G$2,G26,IF(Input!$D$24=Launguage!$H$2,H26,IF(Input!$D$24=Launguage!$I$2,I26,IF(Input!$D$24=Launguage!$J$2,J26,K26)))))))</f>
        <v>Canon Druckermodell</v>
      </c>
      <c r="D26" s="166" t="s">
        <v>108</v>
      </c>
      <c r="E26" s="166" t="s">
        <v>776</v>
      </c>
      <c r="F26" s="166" t="s">
        <v>207</v>
      </c>
      <c r="G26" s="166" t="s">
        <v>398</v>
      </c>
      <c r="H26" s="166" t="s">
        <v>491</v>
      </c>
      <c r="I26" s="166" t="s">
        <v>567</v>
      </c>
      <c r="J26" s="166" t="s">
        <v>653</v>
      </c>
      <c r="K26" s="295"/>
    </row>
    <row r="27" spans="1:11" ht="28">
      <c r="A27" s="165">
        <v>26</v>
      </c>
      <c r="B27" s="302"/>
      <c r="C27" s="285" t="str">
        <f>IF(Input!$D$24=Launguage!$D$2,D27,IF(Input!$D$24=Launguage!$E$2,E27,IF(Input!$D$24=Launguage!$F$2,F27,IF(Input!$D$24=Launguage!$G$2,G27,IF(Input!$D$24=Launguage!$H$2,H27,IF(Input!$D$24=Launguage!$I$2,I27,IF(Input!$D$24=Launguage!$J$2,J27,K27)))))))</f>
        <v>Anschaffungskosten (HW, Installation usw.)</v>
      </c>
      <c r="D27" s="166" t="s">
        <v>61</v>
      </c>
      <c r="E27" s="166" t="s">
        <v>325</v>
      </c>
      <c r="F27" s="166" t="s">
        <v>208</v>
      </c>
      <c r="G27" s="166" t="s">
        <v>399</v>
      </c>
      <c r="H27" s="166" t="s">
        <v>492</v>
      </c>
      <c r="I27" s="166" t="s">
        <v>568</v>
      </c>
      <c r="J27" s="166" t="s">
        <v>654</v>
      </c>
      <c r="K27" s="295"/>
    </row>
    <row r="28" spans="1:11" ht="14">
      <c r="A28" s="165">
        <v>27</v>
      </c>
      <c r="B28" s="302"/>
      <c r="C28" s="283" t="str">
        <f>IF(Input!$D$24=Launguage!$D$2,D28,IF(Input!$D$24=Launguage!$E$2,E28,IF(Input!$D$24=Launguage!$F$2,F28,IF(Input!$D$24=Launguage!$G$2,G28,IF(Input!$D$24=Launguage!$H$2,H28,IF(Input!$D$24=Launguage!$I$2,I28,IF(Input!$D$24=Launguage!$J$2,J28,K28)))))))</f>
        <v>Verbrauchsmaterial/Service</v>
      </c>
      <c r="D28" s="283" t="s">
        <v>62</v>
      </c>
      <c r="E28" s="283" t="s">
        <v>326</v>
      </c>
      <c r="F28" s="283" t="s">
        <v>209</v>
      </c>
      <c r="G28" s="283" t="s">
        <v>400</v>
      </c>
      <c r="H28" s="283" t="s">
        <v>493</v>
      </c>
      <c r="I28" s="283" t="s">
        <v>569</v>
      </c>
      <c r="J28" s="283" t="s">
        <v>655</v>
      </c>
      <c r="K28" s="294"/>
    </row>
    <row r="29" spans="1:11" ht="28">
      <c r="A29" s="165">
        <v>28</v>
      </c>
      <c r="B29" s="302"/>
      <c r="C29" s="285" t="str">
        <f>IF(Input!$D$24=Launguage!$D$2,D29,IF(Input!$D$24=Launguage!$E$2,E29,IF(Input!$D$24=Launguage!$F$2,F29,IF(Input!$D$24=Launguage!$G$2,G29,IF(Input!$D$24=Launguage!$H$2,H29,IF(Input!$D$24=Launguage!$I$2,I29,IF(Input!$D$24=Launguage!$J$2,J29,K29)))))))</f>
        <v>Größe des Tintentanks je Farbe</v>
      </c>
      <c r="D29" s="166" t="s">
        <v>157</v>
      </c>
      <c r="E29" s="166" t="s">
        <v>327</v>
      </c>
      <c r="F29" s="166" t="s">
        <v>210</v>
      </c>
      <c r="G29" s="166" t="s">
        <v>401</v>
      </c>
      <c r="H29" s="166" t="s">
        <v>494</v>
      </c>
      <c r="I29" s="166" t="s">
        <v>570</v>
      </c>
      <c r="J29" s="166" t="s">
        <v>656</v>
      </c>
      <c r="K29" s="295"/>
    </row>
    <row r="30" spans="1:11" ht="28">
      <c r="A30" s="165">
        <v>29</v>
      </c>
      <c r="B30" s="302"/>
      <c r="C30" s="285" t="str">
        <f>IF(Input!$D$24=Launguage!$D$2,D30,IF(Input!$D$24=Launguage!$E$2,E30,IF(Input!$D$24=Launguage!$F$2,F30,IF(Input!$D$24=Launguage!$G$2,G30,IF(Input!$D$24=Launguage!$H$2,H30,IF(Input!$D$24=Launguage!$I$2,I30,IF(Input!$D$24=Launguage!$J$2,J30,K30)))))))</f>
        <v>Preis für Tintentank (1× Tintentank 55ml)</v>
      </c>
      <c r="D30" s="285" t="str">
        <f>"Inktank Price (1piece of "&amp;Input!$K$15&amp;Input!$L$15&amp;")"</f>
        <v>Inktank Price (1piece of 55ml)</v>
      </c>
      <c r="E30" s="285" t="str">
        <f>"Preis für Tintentank (1× Tintentank "&amp;Input!$K$15&amp;Input!L15&amp;")"</f>
        <v>Preis für Tintentank (1× Tintentank 55ml)</v>
      </c>
      <c r="F30" s="285" t="str">
        <f>"Precio de cartucho (1unidad de "&amp;Input!$K$15&amp;Input!L15&amp;")"</f>
        <v>Precio de cartucho (1unidad de 55ml)</v>
      </c>
      <c r="G30" s="285" t="str">
        <f>"Prix cartouche d'encre (1 unité "&amp;Input!$K$15&amp;Input!$L$15&amp;")"</f>
        <v>Prix cartouche d'encre (1 unité 55ml)</v>
      </c>
      <c r="H30" s="285" t="str">
        <f>"Prezzo serbatoio di inchiostro (1serbatoio da "&amp;Input!$K$15&amp;Input!L15&amp;")"</f>
        <v>Prezzo serbatoio di inchiostro (1serbatoio da 55ml)</v>
      </c>
      <c r="I30" s="285" t="str">
        <f>"Inktank Price (1piece of "&amp;Input!$K$15&amp;Input!$L$15&amp;")"</f>
        <v>Inktank Price (1piece of 55ml)</v>
      </c>
      <c r="J30" s="285" t="str">
        <f>"Стоимость чернильницы (1 шт. "&amp;Input!$K$15&amp;Input!$L$15&amp;")"</f>
        <v>Стоимость чернильницы (1 шт. 55ml)</v>
      </c>
      <c r="K30" s="295"/>
    </row>
    <row r="31" spans="1:11" ht="14">
      <c r="A31" s="165">
        <v>30</v>
      </c>
      <c r="B31" s="302"/>
      <c r="C31" s="285" t="str">
        <f>IF(Input!$D$24=Launguage!$D$2,D31,IF(Input!$D$24=Launguage!$E$2,E31,IF(Input!$D$24=Launguage!$F$2,F31,IF(Input!$D$24=Launguage!$G$2,G31,IF(Input!$D$24=Launguage!$H$2,H31,IF(Input!$D$24=Launguage!$I$2,I31,IF(Input!$D$24=Launguage!$J$2,J31,K31)))))))</f>
        <v>Papierbreite</v>
      </c>
      <c r="D31" s="166" t="s">
        <v>41</v>
      </c>
      <c r="E31" s="166" t="s">
        <v>328</v>
      </c>
      <c r="F31" s="166" t="s">
        <v>211</v>
      </c>
      <c r="G31" s="166" t="s">
        <v>402</v>
      </c>
      <c r="H31" s="166" t="s">
        <v>495</v>
      </c>
      <c r="I31" s="166" t="s">
        <v>571</v>
      </c>
      <c r="J31" s="166" t="s">
        <v>657</v>
      </c>
      <c r="K31" s="295"/>
    </row>
    <row r="32" spans="1:11" ht="14">
      <c r="A32" s="165">
        <v>31</v>
      </c>
      <c r="B32" s="302"/>
      <c r="C32" s="285" t="str">
        <f>IF(Input!$D$24=Launguage!$D$2,D32,IF(Input!$D$24=Launguage!$E$2,E32,IF(Input!$D$24=Launguage!$F$2,F32,IF(Input!$D$24=Launguage!$G$2,G32,IF(Input!$D$24=Launguage!$H$2,H32,IF(Input!$D$24=Launguage!$I$2,I32,IF(Input!$D$24=Launguage!$J$2,J32,K32)))))))</f>
        <v>Papierlänge</v>
      </c>
      <c r="D32" s="166" t="s">
        <v>64</v>
      </c>
      <c r="E32" s="166" t="s">
        <v>329</v>
      </c>
      <c r="F32" s="166" t="s">
        <v>212</v>
      </c>
      <c r="G32" s="166" t="s">
        <v>403</v>
      </c>
      <c r="H32" s="166" t="s">
        <v>496</v>
      </c>
      <c r="I32" s="166" t="s">
        <v>572</v>
      </c>
      <c r="J32" s="166" t="s">
        <v>658</v>
      </c>
      <c r="K32" s="295"/>
    </row>
    <row r="33" spans="1:11" ht="14">
      <c r="A33" s="165">
        <v>32</v>
      </c>
      <c r="B33" s="302"/>
      <c r="C33" s="285" t="str">
        <f>IF(Input!$D$24=Launguage!$D$2,D33,IF(Input!$D$24=Launguage!$E$2,E33,IF(Input!$D$24=Launguage!$F$2,F33,IF(Input!$D$24=Launguage!$G$2,G33,IF(Input!$D$24=Launguage!$H$2,H33,IF(Input!$D$24=Launguage!$I$2,I33,IF(Input!$D$24=Launguage!$J$2,J33,K33)))))))</f>
        <v>Papierpreis (1 Rolle)</v>
      </c>
      <c r="D33" s="166" t="s">
        <v>66</v>
      </c>
      <c r="E33" s="166" t="s">
        <v>330</v>
      </c>
      <c r="F33" s="166" t="s">
        <v>213</v>
      </c>
      <c r="G33" s="166" t="s">
        <v>404</v>
      </c>
      <c r="H33" s="166" t="s">
        <v>497</v>
      </c>
      <c r="I33" s="166" t="s">
        <v>573</v>
      </c>
      <c r="J33" s="166" t="s">
        <v>659</v>
      </c>
      <c r="K33" s="295"/>
    </row>
    <row r="34" spans="1:11" ht="28">
      <c r="A34" s="165">
        <v>33</v>
      </c>
      <c r="B34" s="302"/>
      <c r="C34" s="285" t="str">
        <f>IF(Input!$D$24=Launguage!$D$2,D34,IF(Input!$D$24=Launguage!$E$2,E34,IF(Input!$D$24=Launguage!$F$2,F34,IF(Input!$D$24=Launguage!$G$2,G34,IF(Input!$D$24=Launguage!$H$2,H34,IF(Input!$D$24=Launguage!$I$2,I34,IF(Input!$D$24=Launguage!$J$2,J34,K34)))))))</f>
        <v>Preis für Druckkopf (1 Stk.)</v>
      </c>
      <c r="D34" s="166" t="s">
        <v>67</v>
      </c>
      <c r="E34" s="166" t="s">
        <v>331</v>
      </c>
      <c r="F34" s="166" t="s">
        <v>214</v>
      </c>
      <c r="G34" s="166" t="s">
        <v>405</v>
      </c>
      <c r="H34" s="166" t="s">
        <v>498</v>
      </c>
      <c r="I34" s="166" t="s">
        <v>574</v>
      </c>
      <c r="J34" s="166" t="s">
        <v>660</v>
      </c>
      <c r="K34" s="295"/>
    </row>
    <row r="35" spans="1:11" ht="28">
      <c r="A35" s="165">
        <v>34</v>
      </c>
      <c r="B35" s="302"/>
      <c r="C35" s="285" t="str">
        <f>IF(Input!$D$24=Launguage!$D$2,D35,IF(Input!$D$24=Launguage!$E$2,E35,IF(Input!$D$24=Launguage!$F$2,F35,IF(Input!$D$24=Launguage!$G$2,G35,IF(Input!$D$24=Launguage!$H$2,H35,IF(Input!$D$24=Launguage!$I$2,I35,IF(Input!$D$24=Launguage!$J$2,J35,K35)))))))</f>
        <v>Preis für Wartungseinschub (1 Stk.)</v>
      </c>
      <c r="D35" s="166" t="s">
        <v>68</v>
      </c>
      <c r="E35" s="166" t="s">
        <v>332</v>
      </c>
      <c r="F35" s="166" t="s">
        <v>215</v>
      </c>
      <c r="G35" s="166" t="s">
        <v>406</v>
      </c>
      <c r="H35" s="166" t="s">
        <v>499</v>
      </c>
      <c r="I35" s="166" t="s">
        <v>575</v>
      </c>
      <c r="J35" s="166" t="s">
        <v>661</v>
      </c>
      <c r="K35" s="295"/>
    </row>
    <row r="36" spans="1:11" ht="28">
      <c r="A36" s="165">
        <v>35</v>
      </c>
      <c r="B36" s="302"/>
      <c r="C36" s="285" t="str">
        <f>IF(Input!$D$24=Launguage!$D$2,D36,IF(Input!$D$24=Launguage!$E$2,E36,IF(Input!$D$24=Launguage!$F$2,F36,IF(Input!$D$24=Launguage!$G$2,G36,IF(Input!$D$24=Launguage!$H$2,H36,IF(Input!$D$24=Launguage!$I$2,I36,IF(Input!$D$24=Launguage!$J$2,J36,K36)))))))</f>
        <v>Servicevertrag (ESP) – Preis</v>
      </c>
      <c r="D36" s="166" t="s">
        <v>69</v>
      </c>
      <c r="E36" s="166" t="s">
        <v>333</v>
      </c>
      <c r="F36" s="166" t="s">
        <v>216</v>
      </c>
      <c r="G36" s="166" t="s">
        <v>407</v>
      </c>
      <c r="H36" s="166" t="s">
        <v>500</v>
      </c>
      <c r="I36" s="166" t="s">
        <v>576</v>
      </c>
      <c r="J36" s="166" t="s">
        <v>662</v>
      </c>
      <c r="K36" s="295"/>
    </row>
    <row r="37" spans="1:11" ht="28">
      <c r="A37" s="165">
        <v>36</v>
      </c>
      <c r="B37" s="302"/>
      <c r="C37" s="285" t="str">
        <f>IF(Input!$D$24=Launguage!$D$2,D37,IF(Input!$D$24=Launguage!$E$2,E37,IF(Input!$D$24=Launguage!$F$2,F37,IF(Input!$D$24=Launguage!$G$2,G37,IF(Input!$D$24=Launguage!$H$2,H37,IF(Input!$D$24=Launguage!$I$2,I37,IF(Input!$D$24=Launguage!$J$2,J37,K37)))))))</f>
        <v>Servicevertrag (ESP) – Dauer</v>
      </c>
      <c r="D37" s="166" t="s">
        <v>70</v>
      </c>
      <c r="E37" s="166" t="s">
        <v>334</v>
      </c>
      <c r="F37" s="166" t="s">
        <v>217</v>
      </c>
      <c r="G37" s="166" t="s">
        <v>408</v>
      </c>
      <c r="H37" s="166" t="s">
        <v>501</v>
      </c>
      <c r="I37" s="166" t="s">
        <v>577</v>
      </c>
      <c r="J37" s="166" t="s">
        <v>663</v>
      </c>
      <c r="K37" s="295"/>
    </row>
    <row r="38" spans="1:11" ht="14">
      <c r="A38" s="165">
        <v>37</v>
      </c>
      <c r="B38" s="302"/>
      <c r="C38" s="283" t="str">
        <f>IF(Input!$D$24=Launguage!$D$2,D38,IF(Input!$D$24=Launguage!$E$2,E38,IF(Input!$D$24=Launguage!$F$2,F38,IF(Input!$D$24=Launguage!$G$2,G38,IF(Input!$D$24=Launguage!$H$2,H38,IF(Input!$D$24=Launguage!$I$2,I38,IF(Input!$D$24=Launguage!$J$2,J38,K38)))))))</f>
        <v>Sonstiges</v>
      </c>
      <c r="D38" s="283" t="s">
        <v>71</v>
      </c>
      <c r="E38" s="283" t="s">
        <v>335</v>
      </c>
      <c r="F38" s="283" t="s">
        <v>218</v>
      </c>
      <c r="G38" s="283" t="s">
        <v>409</v>
      </c>
      <c r="H38" s="283" t="s">
        <v>502</v>
      </c>
      <c r="I38" s="283" t="s">
        <v>578</v>
      </c>
      <c r="J38" s="283" t="s">
        <v>664</v>
      </c>
      <c r="K38" s="294"/>
    </row>
    <row r="39" spans="1:11" ht="14">
      <c r="A39" s="165">
        <v>38</v>
      </c>
      <c r="B39" s="302"/>
      <c r="C39" s="285" t="str">
        <f>IF(Input!$D$24=Launguage!$D$2,D39,IF(Input!$D$24=Launguage!$E$2,E39,IF(Input!$D$24=Launguage!$F$2,F39,IF(Input!$D$24=Launguage!$G$2,G39,IF(Input!$D$24=Launguage!$H$2,H39,IF(Input!$D$24=Launguage!$I$2,I39,IF(Input!$D$24=Launguage!$J$2,J39,K39)))))))</f>
        <v>Arbeitskosten pro Stunde</v>
      </c>
      <c r="D39" s="166" t="s">
        <v>72</v>
      </c>
      <c r="E39" s="166" t="s">
        <v>336</v>
      </c>
      <c r="F39" s="166" t="s">
        <v>219</v>
      </c>
      <c r="G39" s="166" t="s">
        <v>410</v>
      </c>
      <c r="H39" s="166" t="s">
        <v>503</v>
      </c>
      <c r="I39" s="166" t="s">
        <v>579</v>
      </c>
      <c r="J39" s="166" t="s">
        <v>665</v>
      </c>
      <c r="K39" s="295"/>
    </row>
    <row r="40" spans="1:11" ht="14">
      <c r="A40" s="165">
        <v>39</v>
      </c>
      <c r="B40" s="302"/>
      <c r="C40" s="285" t="str">
        <f>IF(Input!$D$24=Launguage!$D$2,D40,IF(Input!$D$24=Launguage!$E$2,E40,IF(Input!$D$24=Launguage!$F$2,F40,IF(Input!$D$24=Launguage!$G$2,G40,IF(Input!$D$24=Launguage!$H$2,H40,IF(Input!$D$24=Launguage!$I$2,I40,IF(Input!$D$24=Launguage!$J$2,J40,K40)))))))</f>
        <v>Stromkosten pro kW/h</v>
      </c>
      <c r="D40" s="166" t="s">
        <v>133</v>
      </c>
      <c r="E40" s="166" t="s">
        <v>337</v>
      </c>
      <c r="F40" s="166" t="s">
        <v>220</v>
      </c>
      <c r="G40" s="166" t="s">
        <v>411</v>
      </c>
      <c r="H40" s="166" t="s">
        <v>504</v>
      </c>
      <c r="I40" s="166" t="s">
        <v>580</v>
      </c>
      <c r="J40" s="166" t="s">
        <v>666</v>
      </c>
      <c r="K40" s="295"/>
    </row>
    <row r="41" spans="1:11" ht="42">
      <c r="A41" s="165">
        <v>40</v>
      </c>
      <c r="B41" s="302"/>
      <c r="C41" s="285" t="str">
        <f>IF(Input!$D$24=Launguage!$D$2,D41,IF(Input!$D$24=Launguage!$E$2,E41,IF(Input!$D$24=Launguage!$F$2,F41,IF(Input!$D$24=Launguage!$G$2,G41,IF(Input!$D$24=Launguage!$H$2,H41,IF(Input!$D$24=Launguage!$I$2,I41,IF(Input!$D$24=Launguage!$J$2,J41,K41)))))))</f>
        <v>Zur Berechnung der Arbeitskosten für den Druck mit iPF</v>
      </c>
      <c r="D41" s="166" t="s">
        <v>106</v>
      </c>
      <c r="E41" s="166" t="s">
        <v>338</v>
      </c>
      <c r="F41" s="166" t="s">
        <v>221</v>
      </c>
      <c r="G41" s="166" t="s">
        <v>412</v>
      </c>
      <c r="H41" s="166" t="s">
        <v>505</v>
      </c>
      <c r="I41" s="166" t="s">
        <v>581</v>
      </c>
      <c r="J41" s="166" t="s">
        <v>667</v>
      </c>
      <c r="K41" s="295"/>
    </row>
    <row r="42" spans="1:11" ht="14">
      <c r="A42" s="165">
        <v>41</v>
      </c>
      <c r="B42" s="301" t="s">
        <v>222</v>
      </c>
      <c r="C42" s="284" t="str">
        <f>IF(Input!$D$24=Launguage!$D$2,D42,IF(Input!$D$24=Launguage!$E$2,E42,IF(Input!$D$24=Launguage!$F$2,F42,IF(Input!$D$24=Launguage!$G$2,G42,IF(Input!$D$24=Launguage!$H$2,H42,IF(Input!$D$24=Launguage!$I$2,I42,IF(Input!$D$24=Launguage!$J$2,J42,K42)))))))</f>
        <v>Im ersten Jahr können Sie</v>
      </c>
      <c r="D42" s="168" t="s">
        <v>224</v>
      </c>
      <c r="E42" s="168" t="s">
        <v>771</v>
      </c>
      <c r="F42" s="168" t="s">
        <v>240</v>
      </c>
      <c r="G42" s="168" t="s">
        <v>414</v>
      </c>
      <c r="H42" s="168" t="s">
        <v>512</v>
      </c>
      <c r="I42" s="168" t="s">
        <v>585</v>
      </c>
      <c r="J42" s="168" t="s">
        <v>696</v>
      </c>
      <c r="K42" s="292"/>
    </row>
    <row r="43" spans="1:11" ht="28">
      <c r="A43" s="165">
        <v>42</v>
      </c>
      <c r="B43" s="301"/>
      <c r="C43" s="284" t="str">
        <f>IF(Input!$D$24=Launguage!$D$2,D43,IF(Input!$D$24=Launguage!$E$2,E43,IF(Input!$D$24=Launguage!$F$2,F43,IF(Input!$D$24=Launguage!$G$2,G43,IF(Input!$D$24=Launguage!$H$2,H43,IF(Input!$D$24=Launguage!$I$2,I43,IF(Input!$D$24=Launguage!$J$2,J43,K43)))))))</f>
        <v>Vergleich der Kapitalrendite</v>
      </c>
      <c r="D43" s="168" t="s">
        <v>119</v>
      </c>
      <c r="E43" s="168" t="s">
        <v>339</v>
      </c>
      <c r="F43" s="168" t="s">
        <v>238</v>
      </c>
      <c r="G43" s="168" t="s">
        <v>413</v>
      </c>
      <c r="H43" s="168" t="s">
        <v>510</v>
      </c>
      <c r="I43" s="168" t="s">
        <v>582</v>
      </c>
      <c r="J43" s="168" t="s">
        <v>669</v>
      </c>
      <c r="K43" s="293"/>
    </row>
    <row r="44" spans="1:11" ht="42">
      <c r="A44" s="165">
        <v>43</v>
      </c>
      <c r="B44" s="301"/>
      <c r="C44" s="284" t="str">
        <f>IF(Input!$D$24=Launguage!$D$2,D44,IF(Input!$D$24=Launguage!$E$2,E44,IF(Input!$D$24=Launguage!$F$2,F44,IF(Input!$D$24=Launguage!$G$2,G44,IF(Input!$D$24=Launguage!$H$2,H44,IF(Input!$D$24=Launguage!$I$2,I44,IF(Input!$D$24=Launguage!$J$2,J44,K44)))))))</f>
        <v>Aktueller Workflow und neuer Workflow mit Canon</v>
      </c>
      <c r="D44" s="168" t="s">
        <v>223</v>
      </c>
      <c r="E44" s="168" t="s">
        <v>340</v>
      </c>
      <c r="F44" s="168" t="s">
        <v>740</v>
      </c>
      <c r="G44" s="168" t="s">
        <v>415</v>
      </c>
      <c r="H44" s="168" t="s">
        <v>511</v>
      </c>
      <c r="I44" s="168" t="s">
        <v>583</v>
      </c>
      <c r="J44" s="168" t="s">
        <v>670</v>
      </c>
      <c r="K44" s="292"/>
    </row>
    <row r="45" spans="1:11" ht="14">
      <c r="A45" s="165">
        <v>44</v>
      </c>
      <c r="B45" s="301"/>
      <c r="C45" s="283" t="str">
        <f>IF(Input!$D$24=Launguage!$D$2,D45,IF(Input!$D$24=Launguage!$E$2,E45,IF(Input!$D$24=Launguage!$F$2,F45,IF(Input!$D$24=Launguage!$G$2,G45,IF(Input!$D$24=Launguage!$H$2,H45,IF(Input!$D$24=Launguage!$I$2,I45,IF(Input!$D$24=Launguage!$J$2,J45,K45)))))))</f>
        <v>Monatliche Kosten</v>
      </c>
      <c r="D45" s="170" t="s">
        <v>33</v>
      </c>
      <c r="E45" s="170" t="s">
        <v>341</v>
      </c>
      <c r="F45" s="170" t="s">
        <v>239</v>
      </c>
      <c r="G45" s="170" t="s">
        <v>416</v>
      </c>
      <c r="H45" s="170" t="s">
        <v>513</v>
      </c>
      <c r="I45" s="170" t="s">
        <v>584</v>
      </c>
      <c r="J45" s="170" t="s">
        <v>671</v>
      </c>
      <c r="K45" s="297"/>
    </row>
    <row r="46" spans="1:11" ht="14">
      <c r="A46" s="165">
        <v>45</v>
      </c>
      <c r="B46" s="301"/>
      <c r="C46" s="284" t="str">
        <f>IF(Input!$D$24=Launguage!$D$2,D46,IF(Input!$D$24=Launguage!$E$2,E46,IF(Input!$D$24=Launguage!$F$2,F46,IF(Input!$D$24=Launguage!$G$2,G46,IF(Input!$D$24=Launguage!$H$2,H46,IF(Input!$D$24=Launguage!$I$2,I46,IF(Input!$D$24=Launguage!$J$2,J46,K46)))))))</f>
        <v>Sie sparen</v>
      </c>
      <c r="D46" s="168" t="s">
        <v>224</v>
      </c>
      <c r="E46" s="168" t="s">
        <v>342</v>
      </c>
      <c r="F46" s="168" t="s">
        <v>240</v>
      </c>
      <c r="G46" s="168" t="s">
        <v>414</v>
      </c>
      <c r="H46" s="168" t="s">
        <v>512</v>
      </c>
      <c r="I46" s="168" t="s">
        <v>585</v>
      </c>
      <c r="J46" s="168" t="s">
        <v>672</v>
      </c>
      <c r="K46" s="292"/>
    </row>
    <row r="47" spans="1:11" ht="14">
      <c r="A47" s="165">
        <v>46</v>
      </c>
      <c r="B47" s="301"/>
      <c r="C47" s="284" t="str">
        <f>IF(Input!$D$24=Launguage!$D$2,D47,IF(Input!$D$24=Launguage!$E$2,E47,IF(Input!$D$24=Launguage!$F$2,F47,IF(Input!$D$24=Launguage!$G$2,G47,IF(Input!$D$24=Launguage!$H$2,H47,IF(Input!$D$24=Launguage!$I$2,I47,IF(Input!$D$24=Launguage!$J$2,J47,K47)))))))</f>
        <v>pro Monat</v>
      </c>
      <c r="D47" s="168" t="s">
        <v>287</v>
      </c>
      <c r="E47" s="168" t="s">
        <v>343</v>
      </c>
      <c r="F47" s="168" t="s">
        <v>241</v>
      </c>
      <c r="G47" s="168" t="s">
        <v>417</v>
      </c>
      <c r="H47" s="168" t="s">
        <v>514</v>
      </c>
      <c r="I47" s="168" t="s">
        <v>586</v>
      </c>
      <c r="J47" s="168" t="s">
        <v>673</v>
      </c>
      <c r="K47" s="292"/>
    </row>
    <row r="48" spans="1:11" ht="28">
      <c r="A48" s="165">
        <v>47</v>
      </c>
      <c r="B48" s="301"/>
      <c r="C48" s="284" t="str">
        <f>IF(Input!$D$24=Launguage!$D$2,D48,IF(Input!$D$24=Launguage!$E$2,E48,IF(Input!$D$24=Launguage!$F$2,F48,IF(Input!$D$24=Launguage!$G$2,G48,IF(Input!$D$24=Launguage!$H$2,H48,IF(Input!$D$24=Launguage!$I$2,I48,IF(Input!$D$24=Launguage!$J$2,J48,K48)))))))</f>
        <v>% des aktuellen Workflows)</v>
      </c>
      <c r="D48" s="168" t="s">
        <v>225</v>
      </c>
      <c r="E48" s="168" t="s">
        <v>344</v>
      </c>
      <c r="F48" s="168" t="s">
        <v>242</v>
      </c>
      <c r="G48" s="168" t="s">
        <v>418</v>
      </c>
      <c r="H48" s="168" t="s">
        <v>515</v>
      </c>
      <c r="I48" s="168" t="s">
        <v>587</v>
      </c>
      <c r="J48" s="168" t="s">
        <v>674</v>
      </c>
      <c r="K48" s="292"/>
    </row>
    <row r="49" spans="1:11" ht="14">
      <c r="A49" s="165">
        <v>48</v>
      </c>
      <c r="B49" s="301"/>
      <c r="C49" s="283" t="str">
        <f>IF(Input!$D$24=Launguage!$D$2,D49,IF(Input!$D$24=Launguage!$E$2,E49,IF(Input!$D$24=Launguage!$F$2,F49,IF(Input!$D$24=Launguage!$G$2,G49,IF(Input!$D$24=Launguage!$H$2,H49,IF(Input!$D$24=Launguage!$I$2,I49,IF(Input!$D$24=Launguage!$J$2,J49,K49)))))))</f>
        <v>Aktuell</v>
      </c>
      <c r="D49" s="171" t="s">
        <v>120</v>
      </c>
      <c r="E49" s="171" t="s">
        <v>345</v>
      </c>
      <c r="F49" s="171" t="s">
        <v>243</v>
      </c>
      <c r="G49" s="171" t="s">
        <v>420</v>
      </c>
      <c r="H49" s="171" t="s">
        <v>516</v>
      </c>
      <c r="I49" s="171" t="s">
        <v>588</v>
      </c>
      <c r="J49" s="171" t="s">
        <v>675</v>
      </c>
      <c r="K49" s="291"/>
    </row>
    <row r="50" spans="1:11" ht="14">
      <c r="A50" s="165">
        <v>49</v>
      </c>
      <c r="B50" s="301"/>
      <c r="C50" s="283" t="str">
        <f>IF(Input!$D$24=Launguage!$D$2,D50,IF(Input!$D$24=Launguage!$E$2,E50,IF(Input!$D$24=Launguage!$F$2,F50,IF(Input!$D$24=Launguage!$G$2,G50,IF(Input!$D$24=Launguage!$H$2,H50,IF(Input!$D$24=Launguage!$I$2,I50,IF(Input!$D$24=Launguage!$J$2,J50,K50)))))))</f>
        <v>Neu</v>
      </c>
      <c r="D50" s="171" t="s">
        <v>121</v>
      </c>
      <c r="E50" s="171" t="s">
        <v>346</v>
      </c>
      <c r="F50" s="171" t="s">
        <v>244</v>
      </c>
      <c r="G50" s="171" t="s">
        <v>419</v>
      </c>
      <c r="H50" s="171" t="s">
        <v>517</v>
      </c>
      <c r="I50" s="171" t="s">
        <v>589</v>
      </c>
      <c r="J50" s="171" t="s">
        <v>676</v>
      </c>
      <c r="K50" s="291"/>
    </row>
    <row r="51" spans="1:11" ht="14">
      <c r="A51" s="165">
        <v>50</v>
      </c>
      <c r="B51" s="301"/>
      <c r="C51" s="284" t="str">
        <f>IF(Input!$D$24=Launguage!$D$2,D51,IF(Input!$D$24=Launguage!$E$2,E51,IF(Input!$D$24=Launguage!$F$2,F51,IF(Input!$D$24=Launguage!$G$2,G51,IF(Input!$D$24=Launguage!$H$2,H51,IF(Input!$D$24=Launguage!$I$2,I51,IF(Input!$D$24=Launguage!$J$2,J51,K51)))))))</f>
        <v>Kosten für Plakatgestaltung</v>
      </c>
      <c r="D51" s="168" t="s">
        <v>122</v>
      </c>
      <c r="E51" s="168" t="s">
        <v>347</v>
      </c>
      <c r="F51" s="168" t="s">
        <v>245</v>
      </c>
      <c r="G51" s="168" t="s">
        <v>421</v>
      </c>
      <c r="H51" s="168" t="s">
        <v>518</v>
      </c>
      <c r="I51" s="168" t="s">
        <v>590</v>
      </c>
      <c r="J51" s="168" t="s">
        <v>677</v>
      </c>
      <c r="K51" s="292"/>
    </row>
    <row r="52" spans="1:11" ht="14">
      <c r="A52" s="165">
        <v>51</v>
      </c>
      <c r="B52" s="301"/>
      <c r="C52" s="284" t="str">
        <f>IF(Input!$D$24=Launguage!$D$2,D52,IF(Input!$D$24=Launguage!$E$2,E52,IF(Input!$D$24=Launguage!$F$2,F52,IF(Input!$D$24=Launguage!$G$2,G52,IF(Input!$D$24=Launguage!$H$2,H52,IF(Input!$D$24=Launguage!$I$2,I52,IF(Input!$D$24=Launguage!$J$2,J52,K52)))))))</f>
        <v>Druck-Outsourcing</v>
      </c>
      <c r="D52" s="168" t="s">
        <v>123</v>
      </c>
      <c r="E52" s="168" t="s">
        <v>348</v>
      </c>
      <c r="F52" s="168" t="s">
        <v>246</v>
      </c>
      <c r="G52" s="168" t="s">
        <v>422</v>
      </c>
      <c r="H52" s="168" t="s">
        <v>519</v>
      </c>
      <c r="I52" s="168" t="s">
        <v>591</v>
      </c>
      <c r="J52" s="168" t="s">
        <v>678</v>
      </c>
      <c r="K52" s="292"/>
    </row>
    <row r="53" spans="1:11" ht="14">
      <c r="A53" s="165">
        <v>52</v>
      </c>
      <c r="B53" s="301"/>
      <c r="C53" s="284" t="str">
        <f>IF(Input!$D$24=Launguage!$D$2,D53,IF(Input!$D$24=Launguage!$E$2,E53,IF(Input!$D$24=Launguage!$F$2,F53,IF(Input!$D$24=Launguage!$G$2,G53,IF(Input!$D$24=Launguage!$H$2,H53,IF(Input!$D$24=Launguage!$I$2,I53,IF(Input!$D$24=Launguage!$J$2,J53,K53)))))))</f>
        <v>Transport-/Frachtkosten</v>
      </c>
      <c r="D53" s="168" t="s">
        <v>164</v>
      </c>
      <c r="E53" s="168" t="s">
        <v>349</v>
      </c>
      <c r="F53" s="168" t="s">
        <v>247</v>
      </c>
      <c r="G53" s="168" t="s">
        <v>423</v>
      </c>
      <c r="H53" s="168" t="s">
        <v>520</v>
      </c>
      <c r="I53" s="168" t="s">
        <v>592</v>
      </c>
      <c r="J53" s="168" t="s">
        <v>679</v>
      </c>
      <c r="K53" s="292"/>
    </row>
    <row r="54" spans="1:11" ht="14">
      <c r="A54" s="165">
        <v>53</v>
      </c>
      <c r="B54" s="301"/>
      <c r="C54" s="284" t="str">
        <f>IF(Input!$D$24=Launguage!$D$2,D54,IF(Input!$D$24=Launguage!$E$2,E54,IF(Input!$D$24=Launguage!$F$2,F54,IF(Input!$D$24=Launguage!$G$2,G54,IF(Input!$D$24=Launguage!$H$2,H54,IF(Input!$D$24=Launguage!$I$2,I54,IF(Input!$D$24=Launguage!$J$2,J54,K54)))))))</f>
        <v>Leasing-Kosten</v>
      </c>
      <c r="D54" s="168" t="s">
        <v>156</v>
      </c>
      <c r="E54" s="168" t="s">
        <v>350</v>
      </c>
      <c r="F54" s="168" t="s">
        <v>248</v>
      </c>
      <c r="G54" s="168" t="s">
        <v>424</v>
      </c>
      <c r="H54" s="168" t="s">
        <v>521</v>
      </c>
      <c r="I54" s="168" t="s">
        <v>593</v>
      </c>
      <c r="J54" s="168" t="s">
        <v>680</v>
      </c>
      <c r="K54" s="292"/>
    </row>
    <row r="55" spans="1:11" ht="14">
      <c r="A55" s="165">
        <v>54</v>
      </c>
      <c r="B55" s="301"/>
      <c r="C55" s="284" t="str">
        <f>IF(Input!$D$24=Launguage!$D$2,D55,IF(Input!$D$24=Launguage!$E$2,E55,IF(Input!$D$24=Launguage!$F$2,F55,IF(Input!$D$24=Launguage!$G$2,G55,IF(Input!$D$24=Launguage!$H$2,H55,IF(Input!$D$24=Launguage!$I$2,I55,IF(Input!$D$24=Launguage!$J$2,J55,K55)))))))</f>
        <v>Tinte</v>
      </c>
      <c r="D55" s="168" t="s">
        <v>34</v>
      </c>
      <c r="E55" s="168" t="s">
        <v>351</v>
      </c>
      <c r="F55" s="168" t="s">
        <v>249</v>
      </c>
      <c r="G55" s="168" t="s">
        <v>425</v>
      </c>
      <c r="H55" s="168" t="s">
        <v>522</v>
      </c>
      <c r="I55" s="168" t="s">
        <v>594</v>
      </c>
      <c r="J55" s="168" t="s">
        <v>681</v>
      </c>
      <c r="K55" s="292"/>
    </row>
    <row r="56" spans="1:11" ht="14">
      <c r="A56" s="165">
        <v>55</v>
      </c>
      <c r="B56" s="301"/>
      <c r="C56" s="284" t="str">
        <f>IF(Input!$D$24=Launguage!$D$2,D56,IF(Input!$D$24=Launguage!$E$2,E56,IF(Input!$D$24=Launguage!$F$2,F56,IF(Input!$D$24=Launguage!$G$2,G56,IF(Input!$D$24=Launguage!$H$2,H56,IF(Input!$D$24=Launguage!$I$2,I56,IF(Input!$D$24=Launguage!$J$2,J56,K56)))))))</f>
        <v>Druckkopf</v>
      </c>
      <c r="D56" s="168" t="s">
        <v>35</v>
      </c>
      <c r="E56" s="168" t="s">
        <v>352</v>
      </c>
      <c r="F56" s="168" t="s">
        <v>250</v>
      </c>
      <c r="G56" s="168" t="s">
        <v>426</v>
      </c>
      <c r="H56" s="168" t="s">
        <v>523</v>
      </c>
      <c r="I56" s="168" t="s">
        <v>595</v>
      </c>
      <c r="J56" s="168" t="s">
        <v>682</v>
      </c>
      <c r="K56" s="292"/>
    </row>
    <row r="57" spans="1:11" ht="14">
      <c r="A57" s="165">
        <v>56</v>
      </c>
      <c r="B57" s="301"/>
      <c r="C57" s="284" t="str">
        <f>IF(Input!$D$24=Launguage!$D$2,D57,IF(Input!$D$24=Launguage!$E$2,E57,IF(Input!$D$24=Launguage!$F$2,F57,IF(Input!$D$24=Launguage!$G$2,G57,IF(Input!$D$24=Launguage!$H$2,H57,IF(Input!$D$24=Launguage!$I$2,I57,IF(Input!$D$24=Launguage!$J$2,J57,K57)))))))</f>
        <v>Medien</v>
      </c>
      <c r="D57" s="168" t="s">
        <v>36</v>
      </c>
      <c r="E57" s="168" t="s">
        <v>353</v>
      </c>
      <c r="F57" s="168" t="s">
        <v>251</v>
      </c>
      <c r="G57" s="168" t="s">
        <v>427</v>
      </c>
      <c r="H57" s="168" t="s">
        <v>524</v>
      </c>
      <c r="I57" s="168" t="s">
        <v>36</v>
      </c>
      <c r="J57" s="168" t="s">
        <v>683</v>
      </c>
      <c r="K57" s="292"/>
    </row>
    <row r="58" spans="1:11" ht="14">
      <c r="A58" s="165">
        <v>57</v>
      </c>
      <c r="B58" s="301"/>
      <c r="C58" s="284" t="str">
        <f>IF(Input!$D$24=Launguage!$D$2,D58,IF(Input!$D$24=Launguage!$E$2,E58,IF(Input!$D$24=Launguage!$F$2,F58,IF(Input!$D$24=Launguage!$G$2,G58,IF(Input!$D$24=Launguage!$H$2,H58,IF(Input!$D$24=Launguage!$I$2,I58,IF(Input!$D$24=Launguage!$J$2,J58,K58)))))))</f>
        <v>Wartungseinschub</v>
      </c>
      <c r="D58" s="168" t="s">
        <v>124</v>
      </c>
      <c r="E58" s="168" t="s">
        <v>354</v>
      </c>
      <c r="F58" s="168" t="s">
        <v>252</v>
      </c>
      <c r="G58" s="168" t="s">
        <v>428</v>
      </c>
      <c r="H58" s="168" t="s">
        <v>525</v>
      </c>
      <c r="I58" s="168" t="s">
        <v>596</v>
      </c>
      <c r="J58" s="168" t="s">
        <v>684</v>
      </c>
      <c r="K58" s="292"/>
    </row>
    <row r="59" spans="1:11" ht="14">
      <c r="A59" s="165">
        <v>58</v>
      </c>
      <c r="B59" s="301"/>
      <c r="C59" s="284" t="str">
        <f>IF(Input!$D$24=Launguage!$D$2,D59,IF(Input!$D$24=Launguage!$E$2,E59,IF(Input!$D$24=Launguage!$F$2,F59,IF(Input!$D$24=Launguage!$G$2,G59,IF(Input!$D$24=Launguage!$H$2,H59,IF(Input!$D$24=Launguage!$I$2,I59,IF(Input!$D$24=Launguage!$J$2,J59,K59)))))))</f>
        <v>Service</v>
      </c>
      <c r="D59" s="168" t="s">
        <v>1</v>
      </c>
      <c r="E59" s="168" t="s">
        <v>1</v>
      </c>
      <c r="F59" s="168" t="s">
        <v>253</v>
      </c>
      <c r="G59" s="168" t="s">
        <v>429</v>
      </c>
      <c r="H59" s="168" t="s">
        <v>526</v>
      </c>
      <c r="I59" s="168" t="s">
        <v>1</v>
      </c>
      <c r="J59" s="168" t="s">
        <v>685</v>
      </c>
      <c r="K59" s="292"/>
    </row>
    <row r="60" spans="1:11" ht="28">
      <c r="A60" s="165">
        <v>59</v>
      </c>
      <c r="B60" s="301"/>
      <c r="C60" s="284" t="str">
        <f>IF(Input!$D$24=Launguage!$D$2,D60,IF(Input!$D$24=Launguage!$E$2,E60,IF(Input!$D$24=Launguage!$F$2,F60,IF(Input!$D$24=Launguage!$G$2,G60,IF(Input!$D$24=Launguage!$H$2,H60,IF(Input!$D$24=Launguage!$I$2,I60,IF(Input!$D$24=Launguage!$J$2,J60,K60)))))))</f>
        <v>Arbeitskosten für Druck</v>
      </c>
      <c r="D60" s="168" t="s">
        <v>125</v>
      </c>
      <c r="E60" s="168" t="s">
        <v>355</v>
      </c>
      <c r="F60" s="168" t="s">
        <v>254</v>
      </c>
      <c r="G60" s="168" t="s">
        <v>430</v>
      </c>
      <c r="H60" s="168" t="s">
        <v>527</v>
      </c>
      <c r="I60" s="168" t="s">
        <v>597</v>
      </c>
      <c r="J60" s="168" t="s">
        <v>686</v>
      </c>
      <c r="K60" s="292"/>
    </row>
    <row r="61" spans="1:11" ht="14">
      <c r="A61" s="165">
        <v>60</v>
      </c>
      <c r="B61" s="301"/>
      <c r="C61" s="284" t="str">
        <f>IF(Input!$D$24=Launguage!$D$2,D61,IF(Input!$D$24=Launguage!$E$2,E61,IF(Input!$D$24=Launguage!$F$2,F61,IF(Input!$D$24=Launguage!$G$2,G61,IF(Input!$D$24=Launguage!$H$2,H61,IF(Input!$D$24=Launguage!$I$2,I61,IF(Input!$D$24=Launguage!$J$2,J61,K61)))))))</f>
        <v>Stromkosten</v>
      </c>
      <c r="D61" s="168" t="s">
        <v>116</v>
      </c>
      <c r="E61" s="168" t="s">
        <v>356</v>
      </c>
      <c r="F61" s="168" t="s">
        <v>255</v>
      </c>
      <c r="G61" s="168" t="s">
        <v>431</v>
      </c>
      <c r="H61" s="168" t="s">
        <v>528</v>
      </c>
      <c r="I61" s="168" t="s">
        <v>598</v>
      </c>
      <c r="J61" s="168" t="s">
        <v>687</v>
      </c>
      <c r="K61" s="292"/>
    </row>
    <row r="62" spans="1:11" ht="14">
      <c r="A62" s="165">
        <v>61</v>
      </c>
      <c r="B62" s="301"/>
      <c r="C62" s="283" t="str">
        <f>IF(Input!$D$24=Launguage!$D$2,D62,IF(Input!$D$24=Launguage!$E$2,E62,IF(Input!$D$24=Launguage!$F$2,F62,IF(Input!$D$24=Launguage!$G$2,G62,IF(Input!$D$24=Launguage!$H$2,H62,IF(Input!$D$24=Launguage!$I$2,I62,IF(Input!$D$24=Launguage!$J$2,J62,K62)))))))</f>
        <v>Durchlaufzeit</v>
      </c>
      <c r="D62" s="170" t="s">
        <v>226</v>
      </c>
      <c r="E62" s="170" t="s">
        <v>357</v>
      </c>
      <c r="F62" s="170" t="s">
        <v>256</v>
      </c>
      <c r="G62" s="170" t="s">
        <v>432</v>
      </c>
      <c r="H62" s="170" t="s">
        <v>529</v>
      </c>
      <c r="I62" s="170" t="s">
        <v>599</v>
      </c>
      <c r="J62" s="170" t="s">
        <v>688</v>
      </c>
      <c r="K62" s="297"/>
    </row>
    <row r="63" spans="1:11" ht="14">
      <c r="A63" s="165">
        <v>62</v>
      </c>
      <c r="B63" s="301"/>
      <c r="C63" s="284" t="str">
        <f>IF(Input!$D$24=Launguage!$D$2,D63,IF(Input!$D$24=Launguage!$E$2,E63,IF(Input!$D$24=Launguage!$F$2,F63,IF(Input!$D$24=Launguage!$G$2,G63,IF(Input!$D$24=Launguage!$H$2,H63,IF(Input!$D$24=Launguage!$I$2,I63,IF(Input!$D$24=Launguage!$J$2,J63,K63)))))))</f>
        <v>Die aktuelle Wartezeit wird um</v>
      </c>
      <c r="D63" s="168" t="s">
        <v>224</v>
      </c>
      <c r="E63" s="168" t="s">
        <v>359</v>
      </c>
      <c r="F63" s="168" t="s">
        <v>257</v>
      </c>
      <c r="G63" s="168" t="s">
        <v>433</v>
      </c>
      <c r="H63" s="168" t="s">
        <v>530</v>
      </c>
      <c r="I63" s="168" t="s">
        <v>585</v>
      </c>
      <c r="J63" s="168" t="s">
        <v>689</v>
      </c>
      <c r="K63" s="292"/>
    </row>
    <row r="64" spans="1:11" ht="28">
      <c r="A64" s="165">
        <v>63</v>
      </c>
      <c r="B64" s="301"/>
      <c r="C64" s="284" t="str">
        <f>IF(Input!$D$24=Launguage!$D$2,D64,IF(Input!$D$24=Launguage!$E$2,E64,IF(Input!$D$24=Launguage!$F$2,F64,IF(Input!$D$24=Launguage!$G$2,G64,IF(Input!$D$24=Launguage!$H$2,H64,IF(Input!$D$24=Launguage!$I$2,I64,IF(Input!$D$24=Launguage!$J$2,J64,K64)))))))</f>
        <v>% verkürzt</v>
      </c>
      <c r="D64" s="168" t="s">
        <v>227</v>
      </c>
      <c r="E64" s="168" t="s">
        <v>358</v>
      </c>
      <c r="F64" s="168" t="s">
        <v>258</v>
      </c>
      <c r="G64" s="168" t="s">
        <v>434</v>
      </c>
      <c r="H64" s="168" t="s">
        <v>531</v>
      </c>
      <c r="I64" s="168" t="s">
        <v>602</v>
      </c>
      <c r="J64" s="168" t="s">
        <v>690</v>
      </c>
      <c r="K64" s="292"/>
    </row>
    <row r="65" spans="1:11" ht="14">
      <c r="A65" s="165">
        <v>64</v>
      </c>
      <c r="B65" s="301"/>
      <c r="C65" s="283" t="str">
        <f>IF(Input!$D$24=Launguage!$D$2,D65,IF(Input!$D$24=Launguage!$E$2,E65,IF(Input!$D$24=Launguage!$F$2,F65,IF(Input!$D$24=Launguage!$G$2,G65,IF(Input!$D$24=Launguage!$H$2,H65,IF(Input!$D$24=Launguage!$I$2,I65,IF(Input!$D$24=Launguage!$J$2,J65,K65)))))))</f>
        <v>Kapitalrendite</v>
      </c>
      <c r="D65" s="170" t="s">
        <v>228</v>
      </c>
      <c r="E65" s="170" t="s">
        <v>360</v>
      </c>
      <c r="F65" s="170" t="s">
        <v>228</v>
      </c>
      <c r="G65" s="170" t="s">
        <v>435</v>
      </c>
      <c r="H65" s="170" t="s">
        <v>228</v>
      </c>
      <c r="I65" s="170" t="s">
        <v>600</v>
      </c>
      <c r="J65" s="170" t="s">
        <v>691</v>
      </c>
      <c r="K65" s="297"/>
    </row>
    <row r="66" spans="1:11" ht="56">
      <c r="A66" s="165">
        <v>65</v>
      </c>
      <c r="B66" s="301"/>
      <c r="C66" s="284" t="str">
        <f>IF(Input!$D$24=Launguage!$D$2,D66,IF(Input!$D$24=Launguage!$E$2,E66,IF(Input!$D$24=Launguage!$F$2,F66,IF(Input!$D$24=Launguage!$G$2,G66,IF(Input!$D$24=Launguage!$H$2,H66,IF(Input!$D$24=Launguage!$I$2,I66,IF(Input!$D$24=Launguage!$J$2,J66,K66)))))))</f>
        <v>Beim angegebenen Druckvolumen amortisiert sich die Investition in das Canon-Produkt innerhalb von</v>
      </c>
      <c r="D66" s="168" t="s">
        <v>129</v>
      </c>
      <c r="E66" s="168" t="s">
        <v>361</v>
      </c>
      <c r="F66" s="168" t="s">
        <v>259</v>
      </c>
      <c r="G66" s="168" t="s">
        <v>436</v>
      </c>
      <c r="H66" s="168" t="s">
        <v>532</v>
      </c>
      <c r="I66" s="168" t="s">
        <v>601</v>
      </c>
      <c r="J66" s="168" t="s">
        <v>692</v>
      </c>
      <c r="K66" s="292"/>
    </row>
    <row r="67" spans="1:11" ht="14">
      <c r="A67" s="165">
        <v>66</v>
      </c>
      <c r="B67" s="301"/>
      <c r="C67" s="284" t="str">
        <f>IF(Input!$D$24=Launguage!$D$2,D67,IF(Input!$D$24=Launguage!$E$2,E67,IF(Input!$D$24=Launguage!$F$2,F67,IF(Input!$D$24=Launguage!$G$2,G67,IF(Input!$D$24=Launguage!$H$2,H67,IF(Input!$D$24=Launguage!$I$2,I67,IF(Input!$D$24=Launguage!$J$2,J67,K67)))))))</f>
        <v>Monaten</v>
      </c>
      <c r="D67" s="168" t="s">
        <v>231</v>
      </c>
      <c r="E67" s="168" t="s">
        <v>772</v>
      </c>
      <c r="F67" s="168" t="s">
        <v>260</v>
      </c>
      <c r="G67" s="168" t="s">
        <v>437</v>
      </c>
      <c r="H67" s="168" t="s">
        <v>533</v>
      </c>
      <c r="I67" s="168" t="s">
        <v>604</v>
      </c>
      <c r="J67" s="168" t="s">
        <v>693</v>
      </c>
      <c r="K67" s="292"/>
    </row>
    <row r="68" spans="1:11" ht="28">
      <c r="A68" s="165">
        <v>67</v>
      </c>
      <c r="B68" s="301"/>
      <c r="C68" s="284" t="str">
        <f>IF(Input!$D$24=Launguage!$D$2,D68,IF(Input!$D$24=Launguage!$E$2,E68,IF(Input!$D$24=Launguage!$F$2,F68,IF(Input!$D$24=Launguage!$G$2,G68,IF(Input!$D$24=Launguage!$H$2,H68,IF(Input!$D$24=Launguage!$I$2,I68,IF(Input!$D$24=Launguage!$J$2,J68,K68)))))))</f>
        <v>*Investitionskosten für Canon</v>
      </c>
      <c r="D68" s="168" t="s">
        <v>229</v>
      </c>
      <c r="E68" s="168" t="s">
        <v>362</v>
      </c>
      <c r="F68" s="168" t="s">
        <v>261</v>
      </c>
      <c r="G68" s="168" t="s">
        <v>438</v>
      </c>
      <c r="H68" s="168" t="s">
        <v>534</v>
      </c>
      <c r="I68" s="168" t="s">
        <v>603</v>
      </c>
      <c r="J68" s="168" t="s">
        <v>694</v>
      </c>
      <c r="K68" s="292"/>
    </row>
    <row r="69" spans="1:11" ht="14">
      <c r="A69" s="165">
        <v>68</v>
      </c>
      <c r="B69" s="301"/>
      <c r="C69" s="284" t="str">
        <f>IF(Input!$D$24=Launguage!$D$2,D69,IF(Input!$D$24=Launguage!$E$2,E69,IF(Input!$D$24=Launguage!$F$2,F69,IF(Input!$D$24=Launguage!$G$2,G69,IF(Input!$D$24=Launguage!$H$2,H69,IF(Input!$D$24=Launguage!$I$2,I69,IF(Input!$D$24=Launguage!$J$2,J69,K69)))))))</f>
        <v>:</v>
      </c>
      <c r="D69" s="168" t="s">
        <v>230</v>
      </c>
      <c r="E69" s="168" t="s">
        <v>363</v>
      </c>
      <c r="F69" s="168" t="s">
        <v>262</v>
      </c>
      <c r="G69" s="168" t="s">
        <v>363</v>
      </c>
      <c r="H69" s="168" t="s">
        <v>535</v>
      </c>
      <c r="I69" s="168" t="s">
        <v>605</v>
      </c>
      <c r="J69" s="168" t="s">
        <v>695</v>
      </c>
      <c r="K69" s="292"/>
    </row>
    <row r="70" spans="1:11" ht="14">
      <c r="A70" s="165">
        <v>69</v>
      </c>
      <c r="B70" s="301"/>
      <c r="C70" s="284" t="str">
        <f>IF(Input!$D$24=Launguage!$D$2,D70,IF(Input!$D$24=Launguage!$E$2,E70,IF(Input!$D$24=Launguage!$F$2,F70,IF(Input!$D$24=Launguage!$G$2,G70,IF(Input!$D$24=Launguage!$H$2,H70,IF(Input!$D$24=Launguage!$I$2,I70,IF(Input!$D$24=Launguage!$J$2,J70,K70)))))))</f>
        <v>sparen.</v>
      </c>
      <c r="D70" s="168" t="s">
        <v>293</v>
      </c>
      <c r="E70" s="168" t="s">
        <v>364</v>
      </c>
      <c r="F70" s="168" t="s">
        <v>294</v>
      </c>
      <c r="G70" s="168" t="s">
        <v>439</v>
      </c>
      <c r="H70" s="168" t="s">
        <v>536</v>
      </c>
      <c r="I70" s="168" t="s">
        <v>606</v>
      </c>
      <c r="J70" s="168" t="s">
        <v>697</v>
      </c>
      <c r="K70" s="292"/>
    </row>
    <row r="71" spans="1:11" ht="28">
      <c r="A71" s="165">
        <v>70</v>
      </c>
      <c r="B71" s="301"/>
      <c r="C71" s="284" t="str">
        <f>IF(Input!$D$24=Launguage!$D$2,D71,IF(Input!$D$24=Launguage!$E$2,E71,IF(Input!$D$24=Launguage!$F$2,F71,IF(Input!$D$24=Launguage!$G$2,G71,IF(Input!$D$24=Launguage!$H$2,H71,IF(Input!$D$24=Launguage!$I$2,I71,IF(Input!$D$24=Launguage!$J$2,J71,K71)))))))</f>
        <v>Aktueller Workflow mit Outsourcing</v>
      </c>
      <c r="D71" s="168" t="str">
        <f t="shared" ref="D71:H72" si="0">D3</f>
        <v>Current Workflow (Outsourcing)</v>
      </c>
      <c r="E71" s="168" t="str">
        <f t="shared" si="0"/>
        <v>Aktueller Workflow mit Outsourcing</v>
      </c>
      <c r="F71" s="168" t="str">
        <f t="shared" si="0"/>
        <v>Flujo de impresión actual (Externalizado)</v>
      </c>
      <c r="G71" s="168" t="str">
        <f t="shared" si="0"/>
        <v>Flux de production actuel (externalisé)</v>
      </c>
      <c r="H71" s="168" t="str">
        <f t="shared" si="0"/>
        <v>Workflow corrente (outsourcing)</v>
      </c>
      <c r="I71" s="168" t="str">
        <f t="shared" ref="I71" si="1">I3</f>
        <v>Huidige workflow (uitbesteding)</v>
      </c>
      <c r="J71" s="168" t="s">
        <v>630</v>
      </c>
      <c r="K71" s="292"/>
    </row>
    <row r="72" spans="1:11" ht="28">
      <c r="A72" s="165">
        <v>71</v>
      </c>
      <c r="B72" s="301"/>
      <c r="C72" s="284" t="str">
        <f>IF(Input!$D$24=Launguage!$D$2,D72,IF(Input!$D$24=Launguage!$E$2,E72,IF(Input!$D$24=Launguage!$F$2,F72,IF(Input!$D$24=Launguage!$G$2,G72,IF(Input!$D$24=Launguage!$H$2,H72,IF(Input!$D$24=Launguage!$I$2,I72,IF(Input!$D$24=Launguage!$J$2,J72,K72)))))))</f>
        <v>Neuer Workflow mit Canon iPF</v>
      </c>
      <c r="D72" s="168" t="str">
        <f t="shared" si="0"/>
        <v>New workflow with Canon iPF</v>
      </c>
      <c r="E72" s="168" t="str">
        <f t="shared" si="0"/>
        <v>Neuer Workflow mit Canon iPF</v>
      </c>
      <c r="F72" s="168" t="str">
        <f t="shared" si="0"/>
        <v>Nuevo Flujo de Impresión con Canon iPF</v>
      </c>
      <c r="G72" s="168" t="str">
        <f t="shared" si="0"/>
        <v>Nouveau flux de production avec Canon iPF</v>
      </c>
      <c r="H72" s="168" t="str">
        <f t="shared" si="0"/>
        <v>Nuovo workflow con Canon iPF</v>
      </c>
      <c r="I72" s="168" t="str">
        <f t="shared" ref="I72" si="2">I4</f>
        <v>Nieuwe workflow met Canon iPF</v>
      </c>
      <c r="J72" s="168" t="s">
        <v>631</v>
      </c>
      <c r="K72" s="292"/>
    </row>
    <row r="73" spans="1:11" ht="84">
      <c r="A73" s="165">
        <v>72</v>
      </c>
      <c r="B73" s="301"/>
      <c r="C73" s="284" t="str">
        <f>IF(Input!$D$24=Launguage!$D$2,D73,IF(Input!$D$24=Launguage!$E$2,E73,IF(Input!$D$24=Launguage!$F$2,F73,IF(Input!$D$24=Launguage!$G$2,G73,IF(Input!$D$24=Launguage!$H$2,H73,IF(Input!$D$24=Launguage!$I$2,I73,IF(Input!$D$24=Launguage!$J$2,J73,K73)))))))</f>
        <v xml:space="preserve">* Schätzung auf der Grundlage von internen Tests bei Canon mit dem oben angegebenen Bild „N5/Cottage“. </v>
      </c>
      <c r="D73" s="172" t="s">
        <v>232</v>
      </c>
      <c r="E73" s="172" t="s">
        <v>365</v>
      </c>
      <c r="F73" s="172" t="s">
        <v>263</v>
      </c>
      <c r="G73" s="172" t="s">
        <v>440</v>
      </c>
      <c r="H73" s="172" t="s">
        <v>537</v>
      </c>
      <c r="I73" s="172" t="s">
        <v>607</v>
      </c>
      <c r="J73" s="172" t="s">
        <v>698</v>
      </c>
      <c r="K73" s="298"/>
    </row>
    <row r="74" spans="1:11" ht="70">
      <c r="A74" s="165">
        <v>73</v>
      </c>
      <c r="B74" s="301"/>
      <c r="C74" s="284" t="str">
        <f>IF(Input!$D$24=Launguage!$D$2,D74,IF(Input!$D$24=Launguage!$E$2,E74,IF(Input!$D$24=Launguage!$F$2,F74,IF(Input!$D$24=Launguage!$G$2,G74,IF(Input!$D$24=Launguage!$H$2,H74,IF(Input!$D$24=Launguage!$I$2,I74,IF(Input!$D$24=Launguage!$J$2,J74,K74)))))))</f>
        <v>Die tatsächlichen Kosten sind abhängig vom tatsächlich verwendeten Bild, von den Druckmedien und den Druckbedingungen beim Kunden.</v>
      </c>
      <c r="D74" s="172" t="s">
        <v>233</v>
      </c>
      <c r="E74" s="172" t="s">
        <v>366</v>
      </c>
      <c r="F74" s="172" t="s">
        <v>264</v>
      </c>
      <c r="G74" s="172" t="s">
        <v>441</v>
      </c>
      <c r="H74" s="172" t="s">
        <v>538</v>
      </c>
      <c r="I74" s="172" t="s">
        <v>608</v>
      </c>
      <c r="J74" s="172" t="s">
        <v>699</v>
      </c>
      <c r="K74" s="298"/>
    </row>
    <row r="75" spans="1:11" ht="14">
      <c r="A75" s="165">
        <v>74</v>
      </c>
      <c r="B75" s="301"/>
      <c r="C75" s="284" t="str">
        <f>IF(Input!$D$24=Launguage!$D$2,D75,IF(Input!$D$24=Launguage!$E$2,E75,IF(Input!$D$24=Launguage!$F$2,F75,IF(Input!$D$24=Launguage!$G$2,G75,IF(Input!$D$24=Launguage!$H$2,H75,IF(Input!$D$24=Launguage!$I$2,I75,IF(Input!$D$24=Launguage!$J$2,J75,K75)))))))</f>
        <v>Bedingungen</v>
      </c>
      <c r="D75" s="284" t="s">
        <v>234</v>
      </c>
      <c r="E75" s="284" t="s">
        <v>369</v>
      </c>
      <c r="F75" s="284" t="s">
        <v>265</v>
      </c>
      <c r="G75" s="284" t="s">
        <v>442</v>
      </c>
      <c r="H75" s="284" t="s">
        <v>539</v>
      </c>
      <c r="I75" s="284" t="s">
        <v>609</v>
      </c>
      <c r="J75" s="284" t="s">
        <v>700</v>
      </c>
      <c r="K75" s="299"/>
    </row>
    <row r="76" spans="1:11" ht="14">
      <c r="A76" s="165">
        <v>75</v>
      </c>
      <c r="B76" s="301"/>
      <c r="C76" s="284" t="str">
        <f>IF(Input!$D$24=Launguage!$D$2,D76,IF(Input!$D$24=Launguage!$E$2,E76,IF(Input!$D$24=Launguage!$F$2,F76,IF(Input!$D$24=Launguage!$G$2,G76,IF(Input!$D$24=Launguage!$H$2,H76,IF(Input!$D$24=Launguage!$I$2,I76,IF(Input!$D$24=Launguage!$J$2,J76,K76)))))))</f>
        <v>Anzahl der Drucke pro Monat</v>
      </c>
      <c r="D76" s="168" t="s">
        <v>235</v>
      </c>
      <c r="E76" s="168" t="s">
        <v>370</v>
      </c>
      <c r="F76" s="168" t="s">
        <v>266</v>
      </c>
      <c r="G76" s="168" t="s">
        <v>443</v>
      </c>
      <c r="H76" s="168" t="s">
        <v>540</v>
      </c>
      <c r="I76" s="168" t="s">
        <v>610</v>
      </c>
      <c r="J76" s="168" t="s">
        <v>701</v>
      </c>
      <c r="K76" s="292"/>
    </row>
    <row r="77" spans="1:11" ht="14">
      <c r="A77" s="165">
        <v>76</v>
      </c>
      <c r="B77" s="301"/>
      <c r="C77" s="284" t="str">
        <f>IF(Input!$D$24=Launguage!$D$2,D77,IF(Input!$D$24=Launguage!$E$2,E77,IF(Input!$D$24=Launguage!$F$2,F77,IF(Input!$D$24=Launguage!$G$2,G77,IF(Input!$D$24=Launguage!$H$2,H77,IF(Input!$D$24=Launguage!$I$2,I77,IF(Input!$D$24=Launguage!$J$2,J77,K77)))))))</f>
        <v>Ausgabegröße</v>
      </c>
      <c r="D77" s="168" t="s">
        <v>13</v>
      </c>
      <c r="E77" s="168" t="s">
        <v>313</v>
      </c>
      <c r="F77" s="168" t="s">
        <v>444</v>
      </c>
      <c r="G77" s="168" t="s">
        <v>384</v>
      </c>
      <c r="H77" s="168" t="s">
        <v>478</v>
      </c>
      <c r="I77" s="168" t="s">
        <v>555</v>
      </c>
      <c r="J77" s="168" t="s">
        <v>724</v>
      </c>
      <c r="K77" s="292"/>
    </row>
    <row r="78" spans="1:11" ht="14">
      <c r="A78" s="165">
        <v>77</v>
      </c>
      <c r="B78" s="301"/>
      <c r="C78" s="284" t="str">
        <f>IF(Input!$D$24=Launguage!$D$2,D78,IF(Input!$D$24=Launguage!$E$2,E78,IF(Input!$D$24=Launguage!$F$2,F78,IF(Input!$D$24=Launguage!$G$2,G78,IF(Input!$D$24=Launguage!$H$2,H78,IF(Input!$D$24=Launguage!$I$2,I78,IF(Input!$D$24=Launguage!$J$2,J78,K78)))))))</f>
        <v>Druckmodus: Standard</v>
      </c>
      <c r="D78" s="168" t="s">
        <v>237</v>
      </c>
      <c r="E78" s="168" t="s">
        <v>371</v>
      </c>
      <c r="F78" s="168" t="s">
        <v>267</v>
      </c>
      <c r="G78" s="168" t="s">
        <v>746</v>
      </c>
      <c r="H78" s="168" t="s">
        <v>541</v>
      </c>
      <c r="I78" s="168" t="s">
        <v>611</v>
      </c>
      <c r="J78" s="168" t="s">
        <v>702</v>
      </c>
      <c r="K78" s="292"/>
    </row>
    <row r="79" spans="1:11" ht="14">
      <c r="A79" s="165">
        <v>78</v>
      </c>
      <c r="B79" s="301"/>
      <c r="C79" s="284" t="str">
        <f>IF(Input!$D$24=Launguage!$D$2,D79,IF(Input!$D$24=Launguage!$E$2,E79,IF(Input!$D$24=Launguage!$F$2,F79,IF(Input!$D$24=Launguage!$G$2,G79,IF(Input!$D$24=Launguage!$H$2,H79,IF(Input!$D$24=Launguage!$I$2,I79,IF(Input!$D$24=Launguage!$J$2,J79,K79)))))))</f>
        <v>Druckmedientyp</v>
      </c>
      <c r="D79" s="168" t="s">
        <v>236</v>
      </c>
      <c r="E79" s="168" t="s">
        <v>372</v>
      </c>
      <c r="F79" s="168" t="s">
        <v>268</v>
      </c>
      <c r="G79" s="168" t="s">
        <v>445</v>
      </c>
      <c r="H79" s="168" t="s">
        <v>542</v>
      </c>
      <c r="I79" s="168" t="s">
        <v>612</v>
      </c>
      <c r="J79" s="168" t="s">
        <v>723</v>
      </c>
      <c r="K79" s="292"/>
    </row>
    <row r="80" spans="1:11" ht="14">
      <c r="A80" s="165">
        <v>79</v>
      </c>
      <c r="B80" s="301"/>
      <c r="C80" s="284" t="str">
        <f>IF(Input!$D$24=Launguage!$D$2,D80,IF(Input!$D$24=Launguage!$E$2,E80,IF(Input!$D$24=Launguage!$F$2,F80,IF(Input!$D$24=Launguage!$G$2,G80,IF(Input!$D$24=Launguage!$H$2,H80,IF(Input!$D$24=Launguage!$I$2,I80,IF(Input!$D$24=Launguage!$J$2,J80,K80)))))))</f>
        <v>Druckbild</v>
      </c>
      <c r="D80" s="168" t="s">
        <v>151</v>
      </c>
      <c r="E80" s="168" t="s">
        <v>373</v>
      </c>
      <c r="F80" s="168" t="s">
        <v>269</v>
      </c>
      <c r="G80" s="168" t="s">
        <v>446</v>
      </c>
      <c r="H80" s="168" t="s">
        <v>543</v>
      </c>
      <c r="I80" s="168" t="s">
        <v>613</v>
      </c>
      <c r="J80" s="168" t="s">
        <v>722</v>
      </c>
      <c r="K80" s="292"/>
    </row>
    <row r="81" spans="1:11" ht="14">
      <c r="A81" s="165">
        <v>80</v>
      </c>
      <c r="B81" s="303" t="s">
        <v>270</v>
      </c>
      <c r="C81" s="284" t="str">
        <f>IF(Input!$D$24=Launguage!$D$2,D81,IF(Input!$D$24=Launguage!$E$2,E81,IF(Input!$D$24=Launguage!$F$2,F81,IF(Input!$D$24=Launguage!$G$2,G81,IF(Input!$D$24=Launguage!$H$2,H81,IF(Input!$D$24=Launguage!$I$2,I81,IF(Input!$D$24=Launguage!$J$2,J81,K81)))))))</f>
        <v>17"/A2</v>
      </c>
      <c r="D81" s="168" t="s">
        <v>447</v>
      </c>
      <c r="E81" s="168" t="s">
        <v>447</v>
      </c>
      <c r="F81" s="168" t="s">
        <v>447</v>
      </c>
      <c r="G81" s="168" t="s">
        <v>447</v>
      </c>
      <c r="H81" s="168" t="s">
        <v>447</v>
      </c>
      <c r="I81" s="168" t="s">
        <v>447</v>
      </c>
      <c r="J81" s="168" t="s">
        <v>447</v>
      </c>
      <c r="K81" s="292"/>
    </row>
    <row r="82" spans="1:11" ht="14">
      <c r="A82" s="165">
        <v>81</v>
      </c>
      <c r="B82" s="303"/>
      <c r="C82" s="284" t="str">
        <f>IF(Input!$D$24=Launguage!$D$2,D82,IF(Input!$D$24=Launguage!$E$2,E82,IF(Input!$D$24=Launguage!$F$2,F82,IF(Input!$D$24=Launguage!$G$2,G82,IF(Input!$D$24=Launguage!$H$2,H82,IF(Input!$D$24=Launguage!$I$2,I82,IF(Input!$D$24=Launguage!$J$2,J82,K82)))))))</f>
        <v>24''/A1</v>
      </c>
      <c r="D82" s="168" t="s">
        <v>448</v>
      </c>
      <c r="E82" s="168" t="s">
        <v>448</v>
      </c>
      <c r="F82" s="168" t="s">
        <v>448</v>
      </c>
      <c r="G82" s="168" t="s">
        <v>448</v>
      </c>
      <c r="H82" s="168" t="s">
        <v>448</v>
      </c>
      <c r="I82" s="168" t="s">
        <v>448</v>
      </c>
      <c r="J82" s="168" t="s">
        <v>448</v>
      </c>
      <c r="K82" s="292"/>
    </row>
    <row r="83" spans="1:11" ht="14">
      <c r="A83" s="165">
        <v>82</v>
      </c>
      <c r="B83" s="303"/>
      <c r="C83" s="284" t="str">
        <f>IF(Input!$D$24=Launguage!$D$2,D83,IF(Input!$D$24=Launguage!$E$2,E83,IF(Input!$D$24=Launguage!$F$2,F83,IF(Input!$D$24=Launguage!$G$2,G83,IF(Input!$D$24=Launguage!$H$2,H83,IF(Input!$D$24=Launguage!$I$2,I83,IF(Input!$D$24=Launguage!$J$2,J83,K83)))))))</f>
        <v>31.5"</v>
      </c>
      <c r="D83" s="168" t="s">
        <v>449</v>
      </c>
      <c r="E83" s="168" t="s">
        <v>449</v>
      </c>
      <c r="F83" s="168" t="s">
        <v>449</v>
      </c>
      <c r="G83" s="168" t="s">
        <v>449</v>
      </c>
      <c r="H83" s="168" t="s">
        <v>449</v>
      </c>
      <c r="I83" s="168" t="s">
        <v>449</v>
      </c>
      <c r="J83" s="168" t="s">
        <v>449</v>
      </c>
      <c r="K83" s="292"/>
    </row>
    <row r="84" spans="1:11" ht="14">
      <c r="A84" s="165">
        <v>83</v>
      </c>
      <c r="B84" s="303"/>
      <c r="C84" s="284" t="str">
        <f>IF(Input!$D$24=Launguage!$D$2,D84,IF(Input!$D$24=Launguage!$E$2,E84,IF(Input!$D$24=Launguage!$F$2,F84,IF(Input!$D$24=Launguage!$G$2,G84,IF(Input!$D$24=Launguage!$H$2,H84,IF(Input!$D$24=Launguage!$I$2,I84,IF(Input!$D$24=Launguage!$J$2,J84,K84)))))))</f>
        <v>36"/A0</v>
      </c>
      <c r="D84" s="168" t="s">
        <v>450</v>
      </c>
      <c r="E84" s="168" t="s">
        <v>450</v>
      </c>
      <c r="F84" s="168" t="s">
        <v>450</v>
      </c>
      <c r="G84" s="168" t="s">
        <v>450</v>
      </c>
      <c r="H84" s="168" t="s">
        <v>450</v>
      </c>
      <c r="I84" s="168" t="s">
        <v>450</v>
      </c>
      <c r="J84" s="168" t="s">
        <v>450</v>
      </c>
      <c r="K84" s="292"/>
    </row>
    <row r="85" spans="1:11" ht="14">
      <c r="A85" s="165">
        <v>84</v>
      </c>
      <c r="B85" s="303"/>
      <c r="C85" s="284" t="str">
        <f>IF(Input!$D$24=Launguage!$D$2,D85,IF(Input!$D$24=Launguage!$E$2,E85,IF(Input!$D$24=Launguage!$F$2,F85,IF(Input!$D$24=Launguage!$G$2,G85,IF(Input!$D$24=Launguage!$H$2,H85,IF(Input!$D$24=Launguage!$I$2,I85,IF(Input!$D$24=Launguage!$J$2,J85,K85)))))))</f>
        <v>42"</v>
      </c>
      <c r="D85" s="168" t="s">
        <v>451</v>
      </c>
      <c r="E85" s="168" t="s">
        <v>451</v>
      </c>
      <c r="F85" s="168" t="s">
        <v>451</v>
      </c>
      <c r="G85" s="168" t="s">
        <v>451</v>
      </c>
      <c r="H85" s="168" t="s">
        <v>451</v>
      </c>
      <c r="I85" s="168" t="s">
        <v>451</v>
      </c>
      <c r="J85" s="168" t="s">
        <v>451</v>
      </c>
      <c r="K85" s="292"/>
    </row>
    <row r="86" spans="1:11" ht="14">
      <c r="A86" s="165">
        <v>85</v>
      </c>
      <c r="B86" s="303"/>
      <c r="C86" s="284" t="str">
        <f>IF(Input!$D$24=Launguage!$D$2,D86,IF(Input!$D$24=Launguage!$E$2,E86,IF(Input!$D$24=Launguage!$F$2,F86,IF(Input!$D$24=Launguage!$G$2,G86,IF(Input!$D$24=Launguage!$H$2,H86,IF(Input!$D$24=Launguage!$I$2,I86,IF(Input!$D$24=Launguage!$J$2,J86,K86)))))))</f>
        <v>44"</v>
      </c>
      <c r="D86" s="168" t="s">
        <v>452</v>
      </c>
      <c r="E86" s="168" t="s">
        <v>452</v>
      </c>
      <c r="F86" s="168" t="s">
        <v>452</v>
      </c>
      <c r="G86" s="168" t="s">
        <v>452</v>
      </c>
      <c r="H86" s="168" t="s">
        <v>452</v>
      </c>
      <c r="I86" s="168" t="s">
        <v>452</v>
      </c>
      <c r="J86" s="168" t="s">
        <v>452</v>
      </c>
      <c r="K86" s="292"/>
    </row>
    <row r="87" spans="1:11" ht="14">
      <c r="A87" s="165">
        <v>86</v>
      </c>
      <c r="B87" s="303"/>
      <c r="C87" s="284" t="str">
        <f>IF(Input!$D$24=Launguage!$D$2,D87,IF(Input!$D$24=Launguage!$E$2,E87,IF(Input!$D$24=Launguage!$F$2,F87,IF(Input!$D$24=Launguage!$G$2,G87,IF(Input!$D$24=Launguage!$H$2,H87,IF(Input!$D$24=Launguage!$I$2,I87,IF(Input!$D$24=Launguage!$J$2,J87,K87)))))))</f>
        <v>50"</v>
      </c>
      <c r="D87" s="168" t="s">
        <v>453</v>
      </c>
      <c r="E87" s="168" t="s">
        <v>453</v>
      </c>
      <c r="F87" s="168" t="s">
        <v>453</v>
      </c>
      <c r="G87" s="168" t="s">
        <v>453</v>
      </c>
      <c r="H87" s="168" t="s">
        <v>453</v>
      </c>
      <c r="I87" s="168" t="s">
        <v>453</v>
      </c>
      <c r="J87" s="168" t="s">
        <v>453</v>
      </c>
      <c r="K87" s="292"/>
    </row>
    <row r="88" spans="1:11" ht="14">
      <c r="A88" s="165">
        <v>87</v>
      </c>
      <c r="B88" s="303"/>
      <c r="C88" s="284" t="str">
        <f>IF(Input!$D$24=Launguage!$D$2,D88,IF(Input!$D$24=Launguage!$E$2,E88,IF(Input!$D$24=Launguage!$F$2,F88,IF(Input!$D$24=Launguage!$G$2,G88,IF(Input!$D$24=Launguage!$H$2,H88,IF(Input!$D$24=Launguage!$I$2,I88,IF(Input!$D$24=Launguage!$J$2,J88,K88)))))))</f>
        <v>60"</v>
      </c>
      <c r="D88" s="168" t="s">
        <v>454</v>
      </c>
      <c r="E88" s="168" t="s">
        <v>454</v>
      </c>
      <c r="F88" s="168" t="s">
        <v>454</v>
      </c>
      <c r="G88" s="168" t="s">
        <v>454</v>
      </c>
      <c r="H88" s="168" t="s">
        <v>454</v>
      </c>
      <c r="I88" s="168" t="s">
        <v>454</v>
      </c>
      <c r="J88" s="168" t="s">
        <v>454</v>
      </c>
      <c r="K88" s="292"/>
    </row>
    <row r="89" spans="1:11">
      <c r="A89" s="165"/>
      <c r="B89" s="303"/>
      <c r="C89" s="284"/>
      <c r="D89" s="168"/>
      <c r="E89" s="168"/>
      <c r="F89" s="168"/>
      <c r="G89" s="168"/>
      <c r="H89" s="168"/>
      <c r="I89" s="168"/>
      <c r="J89" s="168"/>
      <c r="K89" s="292"/>
    </row>
    <row r="90" spans="1:11">
      <c r="A90" s="165"/>
      <c r="B90" s="303"/>
      <c r="C90" s="284"/>
      <c r="D90" s="168"/>
      <c r="E90" s="168"/>
      <c r="F90" s="168"/>
      <c r="G90" s="168"/>
      <c r="H90" s="168"/>
      <c r="I90" s="168"/>
      <c r="J90" s="168"/>
      <c r="K90" s="292"/>
    </row>
    <row r="91" spans="1:11" ht="28">
      <c r="A91" s="165">
        <v>90</v>
      </c>
      <c r="B91" s="329" t="s">
        <v>75</v>
      </c>
      <c r="C91" s="284" t="str">
        <f>IF(Input!$D$24=Launguage!$D$2,D91,IF(Input!$D$24=Launguage!$E$2,E91,IF(Input!$D$24=Launguage!$F$2,F91,IF(Input!$D$24=Launguage!$G$2,G91,IF(Input!$D$24=Launguage!$H$2,H91,IF(Input!$D$24=Launguage!$I$2,I91,IF(Input!$D$24=Launguage!$J$2,J91,K91)))))))</f>
        <v>5 Farben, 24 Zoll System mit Kassette</v>
      </c>
      <c r="D91" s="168" t="s">
        <v>88</v>
      </c>
      <c r="E91" s="168" t="s">
        <v>765</v>
      </c>
      <c r="F91" s="168" t="s">
        <v>272</v>
      </c>
      <c r="G91" s="168" t="s">
        <v>456</v>
      </c>
      <c r="H91" s="168" t="s">
        <v>88</v>
      </c>
      <c r="I91" s="168" t="s">
        <v>615</v>
      </c>
      <c r="J91" s="168" t="s">
        <v>705</v>
      </c>
      <c r="K91" s="168"/>
    </row>
    <row r="92" spans="1:11" ht="14">
      <c r="A92" s="165">
        <v>91</v>
      </c>
      <c r="B92" s="339" t="s">
        <v>758</v>
      </c>
      <c r="C92" s="284" t="str">
        <f>IF(Input!$D$24=Launguage!$D$2,D92,IF(Input!$D$24=Launguage!$E$2,E92,IF(Input!$D$24=Launguage!$F$2,F92,IF(Input!$D$24=Launguage!$G$2,G92,IF(Input!$D$24=Launguage!$H$2,H92,IF(Input!$D$24=Launguage!$I$2,I92,IF(Input!$D$24=Launguage!$J$2,J92,K92)))))))</f>
        <v>5 Farben, 24 Zoll System</v>
      </c>
      <c r="D92" s="168" t="s">
        <v>78</v>
      </c>
      <c r="E92" s="168" t="s">
        <v>766</v>
      </c>
      <c r="F92" s="168" t="s">
        <v>271</v>
      </c>
      <c r="G92" s="168" t="s">
        <v>455</v>
      </c>
      <c r="H92" s="168" t="s">
        <v>78</v>
      </c>
      <c r="I92" s="168" t="s">
        <v>614</v>
      </c>
      <c r="J92" s="168" t="s">
        <v>704</v>
      </c>
      <c r="K92" s="168"/>
    </row>
    <row r="93" spans="1:11">
      <c r="A93" s="165">
        <v>92</v>
      </c>
      <c r="B93" s="339"/>
      <c r="C93" s="284"/>
      <c r="D93" s="168"/>
      <c r="E93" s="168"/>
      <c r="F93" s="168"/>
      <c r="G93" s="168"/>
      <c r="H93" s="168"/>
      <c r="I93" s="168"/>
      <c r="J93" s="168"/>
      <c r="K93" s="168"/>
    </row>
    <row r="94" spans="1:11" ht="28">
      <c r="A94" s="165">
        <v>93</v>
      </c>
      <c r="B94" s="339" t="s">
        <v>759</v>
      </c>
      <c r="C94" s="284" t="str">
        <f>IF(Input!$D$24=Launguage!$D$2,D94,IF(Input!$D$24=Launguage!$E$2,E94,IF(Input!$D$24=Launguage!$F$2,F94,IF(Input!$D$24=Launguage!$G$2,G94,IF(Input!$D$24=Launguage!$H$2,H94,IF(Input!$D$24=Launguage!$I$2,I94,IF(Input!$D$24=Launguage!$J$2,J94,K94)))))))</f>
        <v>5-Farb-System 24 Zoll mit Festplatte</v>
      </c>
      <c r="D94" s="168" t="s">
        <v>79</v>
      </c>
      <c r="E94" s="168" t="s">
        <v>767</v>
      </c>
      <c r="F94" s="168" t="s">
        <v>273</v>
      </c>
      <c r="G94" s="168" t="s">
        <v>457</v>
      </c>
      <c r="H94" s="168" t="s">
        <v>79</v>
      </c>
      <c r="I94" s="168" t="s">
        <v>616</v>
      </c>
      <c r="J94" s="168" t="s">
        <v>706</v>
      </c>
      <c r="K94" s="168"/>
    </row>
    <row r="95" spans="1:11">
      <c r="A95" s="165">
        <v>94</v>
      </c>
      <c r="B95" s="339"/>
      <c r="C95" s="284"/>
      <c r="D95" s="168"/>
      <c r="E95" s="168"/>
      <c r="F95" s="168"/>
      <c r="G95" s="168"/>
      <c r="H95" s="168"/>
      <c r="I95" s="168"/>
      <c r="J95" s="168"/>
      <c r="K95" s="168"/>
    </row>
    <row r="96" spans="1:11">
      <c r="A96" s="165">
        <v>95</v>
      </c>
      <c r="B96" s="339"/>
      <c r="C96" s="284"/>
      <c r="D96" s="168"/>
      <c r="E96" s="168"/>
      <c r="F96" s="168"/>
      <c r="G96" s="168"/>
      <c r="H96" s="168"/>
      <c r="I96" s="168"/>
      <c r="J96" s="168"/>
      <c r="K96" s="168"/>
    </row>
    <row r="97" spans="1:11" ht="14">
      <c r="A97" s="165">
        <v>96</v>
      </c>
      <c r="B97" s="339" t="s">
        <v>760</v>
      </c>
      <c r="C97" s="284" t="str">
        <f>IF(Input!$D$24=Launguage!$D$2,D97,IF(Input!$D$24=Launguage!$E$2,E97,IF(Input!$D$24=Launguage!$F$2,F97,IF(Input!$D$24=Launguage!$G$2,G97,IF(Input!$D$24=Launguage!$H$2,H97,IF(Input!$D$24=Launguage!$I$2,I97,IF(Input!$D$24=Launguage!$J$2,J97,K97)))))))</f>
        <v>5 Farben, 36 Zoll System</v>
      </c>
      <c r="D97" s="168" t="s">
        <v>84</v>
      </c>
      <c r="E97" s="168" t="s">
        <v>768</v>
      </c>
      <c r="F97" s="168" t="s">
        <v>274</v>
      </c>
      <c r="G97" s="168" t="s">
        <v>458</v>
      </c>
      <c r="H97" s="168" t="s">
        <v>84</v>
      </c>
      <c r="I97" s="168" t="s">
        <v>617</v>
      </c>
      <c r="J97" s="168" t="s">
        <v>707</v>
      </c>
      <c r="K97" s="168"/>
    </row>
    <row r="98" spans="1:11" ht="28">
      <c r="A98" s="165">
        <v>97</v>
      </c>
      <c r="B98" s="339" t="s">
        <v>761</v>
      </c>
      <c r="C98" s="284" t="str">
        <f>IF(Input!$D$24=Launguage!$D$2,D98,IF(Input!$D$24=Launguage!$E$2,E98,IF(Input!$D$24=Launguage!$F$2,F98,IF(Input!$D$24=Launguage!$G$2,G98,IF(Input!$D$24=Launguage!$H$2,H98,IF(Input!$D$24=Launguage!$I$2,I98,IF(Input!$D$24=Launguage!$J$2,J98,K98)))))))</f>
        <v>5-Farb-System 36 Zoll mit Festplatte</v>
      </c>
      <c r="D98" s="168" t="s">
        <v>85</v>
      </c>
      <c r="E98" s="168" t="s">
        <v>769</v>
      </c>
      <c r="F98" s="168" t="s">
        <v>275</v>
      </c>
      <c r="G98" s="168" t="s">
        <v>459</v>
      </c>
      <c r="H98" s="168" t="s">
        <v>85</v>
      </c>
      <c r="I98" s="168" t="s">
        <v>618</v>
      </c>
      <c r="J98" s="168" t="s">
        <v>708</v>
      </c>
      <c r="K98" s="168"/>
    </row>
    <row r="99" spans="1:11" ht="14">
      <c r="A99" s="165">
        <v>98</v>
      </c>
      <c r="B99" s="339" t="s">
        <v>764</v>
      </c>
      <c r="C99" s="284" t="str">
        <f>IF(Input!$D$24=Launguage!$D$2,D99,IF(Input!$D$24=Launguage!$E$2,E99,IF(Input!$D$24=Launguage!$F$2,F99,IF(Input!$D$24=Launguage!$G$2,G99,IF(Input!$D$24=Launguage!$H$2,H99,IF(Input!$D$24=Launguage!$I$2,I99,IF(Input!$D$24=Launguage!$J$2,J99,K99)))))))</f>
        <v>5-Farb-System 36 Zoll mit Festplatte</v>
      </c>
      <c r="D99" s="168" t="s">
        <v>83</v>
      </c>
      <c r="E99" s="168" t="s">
        <v>769</v>
      </c>
      <c r="F99" s="168" t="s">
        <v>276</v>
      </c>
      <c r="G99" s="168" t="s">
        <v>460</v>
      </c>
      <c r="H99" s="168" t="s">
        <v>83</v>
      </c>
      <c r="I99" s="168" t="s">
        <v>619</v>
      </c>
      <c r="J99" s="168" t="s">
        <v>709</v>
      </c>
      <c r="K99" s="168"/>
    </row>
    <row r="100" spans="1:11" ht="14">
      <c r="A100" s="165">
        <v>99</v>
      </c>
      <c r="B100" s="339" t="s">
        <v>763</v>
      </c>
      <c r="C100" s="284" t="str">
        <f>IF(Input!$D$24=Launguage!$D$2,D100,IF(Input!$D$24=Launguage!$E$2,E100,IF(Input!$D$24=Launguage!$F$2,F100,IF(Input!$D$24=Launguage!$G$2,G100,IF(Input!$D$24=Launguage!$H$2,H100,IF(Input!$D$24=Launguage!$I$2,I100,IF(Input!$D$24=Launguage!$J$2,J100,K100)))))))</f>
        <v>5-Farb-System 44 Zoll mit Festplatte</v>
      </c>
      <c r="D100" s="168" t="s">
        <v>84</v>
      </c>
      <c r="E100" s="168" t="s">
        <v>770</v>
      </c>
      <c r="F100" s="168" t="s">
        <v>274</v>
      </c>
      <c r="G100" s="168" t="s">
        <v>458</v>
      </c>
      <c r="H100" s="168" t="s">
        <v>84</v>
      </c>
      <c r="I100" s="168" t="s">
        <v>617</v>
      </c>
      <c r="J100" s="168" t="s">
        <v>707</v>
      </c>
      <c r="K100" s="168"/>
    </row>
    <row r="101" spans="1:11" ht="14">
      <c r="A101" s="165">
        <v>100</v>
      </c>
      <c r="B101" s="339" t="s">
        <v>762</v>
      </c>
      <c r="C101" s="284" t="str">
        <f>IF(Input!$D$24=Launguage!$D$2,D101,IF(Input!$D$24=Launguage!$E$2,E101,IF(Input!$D$24=Launguage!$F$2,F101,IF(Input!$D$24=Launguage!$G$2,G101,IF(Input!$D$24=Launguage!$H$2,H101,IF(Input!$D$24=Launguage!$I$2,I101,IF(Input!$D$24=Launguage!$J$2,J101,K101)))))))</f>
        <v>5-Farb-System 24 Zoll mit Festplatte</v>
      </c>
      <c r="D101" s="168" t="s">
        <v>78</v>
      </c>
      <c r="E101" s="168" t="s">
        <v>767</v>
      </c>
      <c r="F101" s="168" t="s">
        <v>271</v>
      </c>
      <c r="G101" s="168" t="s">
        <v>455</v>
      </c>
      <c r="H101" s="168" t="s">
        <v>78</v>
      </c>
      <c r="I101" s="168" t="s">
        <v>614</v>
      </c>
      <c r="J101" s="168" t="s">
        <v>704</v>
      </c>
      <c r="K101" s="168"/>
    </row>
    <row r="102" spans="1:11" ht="14">
      <c r="A102" s="165">
        <v>101</v>
      </c>
      <c r="B102" s="330" t="s">
        <v>800</v>
      </c>
      <c r="C102" s="284" t="str">
        <f>IF(Input!$D$24=Launguage!$D$2,D102,IF(Input!$D$24=Launguage!$E$2,E102,IF(Input!$D$24=Launguage!$F$2,F102,IF(Input!$D$24=Launguage!$G$2,G102,IF(Input!$D$24=Launguage!$H$2,H102,IF(Input!$D$24=Launguage!$I$2,I102,IF(Input!$D$24=Launguage!$J$2,J102,K102)))))))</f>
        <v>8-Farb-Gerät (44 Zoll)</v>
      </c>
      <c r="D102" s="168" t="s">
        <v>80</v>
      </c>
      <c r="E102" s="168" t="s">
        <v>801</v>
      </c>
      <c r="F102" s="168" t="s">
        <v>279</v>
      </c>
      <c r="G102" s="168" t="s">
        <v>463</v>
      </c>
      <c r="H102" s="168" t="s">
        <v>80</v>
      </c>
      <c r="I102" s="168" t="s">
        <v>622</v>
      </c>
      <c r="J102" s="168" t="s">
        <v>712</v>
      </c>
      <c r="K102" s="168"/>
    </row>
    <row r="103" spans="1:11">
      <c r="A103" s="165">
        <v>102</v>
      </c>
      <c r="B103" s="329"/>
      <c r="C103" s="284"/>
      <c r="D103" s="168"/>
      <c r="E103" s="168"/>
      <c r="F103" s="168"/>
      <c r="G103" s="168"/>
      <c r="H103" s="168"/>
      <c r="I103" s="168"/>
      <c r="J103" s="168"/>
      <c r="K103" s="168"/>
    </row>
    <row r="104" spans="1:11" ht="14">
      <c r="A104" s="165">
        <v>103</v>
      </c>
      <c r="B104" s="329" t="s">
        <v>21</v>
      </c>
      <c r="C104" s="284" t="str">
        <f>IF(Input!$D$24=Launguage!$D$2,D104,IF(Input!$D$24=Launguage!$E$2,E104,IF(Input!$D$24=Launguage!$F$2,F104,IF(Input!$D$24=Launguage!$G$2,G104,IF(Input!$D$24=Launguage!$H$2,H104,IF(Input!$D$24=Launguage!$I$2,I104,IF(Input!$D$24=Launguage!$J$2,J104,K104)))))))</f>
        <v>6colour, 24 Zoll machine</v>
      </c>
      <c r="D104" s="168" t="s">
        <v>82</v>
      </c>
      <c r="E104" s="168" t="s">
        <v>374</v>
      </c>
      <c r="F104" s="168" t="s">
        <v>277</v>
      </c>
      <c r="G104" s="168" t="s">
        <v>461</v>
      </c>
      <c r="H104" s="168" t="s">
        <v>82</v>
      </c>
      <c r="I104" s="168" t="s">
        <v>620</v>
      </c>
      <c r="J104" s="168" t="s">
        <v>710</v>
      </c>
      <c r="K104" s="168"/>
    </row>
    <row r="105" spans="1:11" ht="14">
      <c r="A105" s="165">
        <v>104</v>
      </c>
      <c r="B105" s="329" t="s">
        <v>76</v>
      </c>
      <c r="C105" s="284" t="str">
        <f>IF(Input!$D$24=Launguage!$D$2,D105,IF(Input!$D$24=Launguage!$E$2,E105,IF(Input!$D$24=Launguage!$F$2,F105,IF(Input!$D$24=Launguage!$G$2,G105,IF(Input!$D$24=Launguage!$H$2,H105,IF(Input!$D$24=Launguage!$I$2,I105,IF(Input!$D$24=Launguage!$J$2,J105,K105)))))))</f>
        <v>8colour, 24 Zoll machine</v>
      </c>
      <c r="D105" s="168" t="s">
        <v>81</v>
      </c>
      <c r="E105" s="168" t="s">
        <v>375</v>
      </c>
      <c r="F105" s="168" t="s">
        <v>278</v>
      </c>
      <c r="G105" s="168" t="s">
        <v>462</v>
      </c>
      <c r="H105" s="168" t="s">
        <v>81</v>
      </c>
      <c r="I105" s="168" t="s">
        <v>621</v>
      </c>
      <c r="J105" s="168" t="s">
        <v>711</v>
      </c>
      <c r="K105" s="168"/>
    </row>
    <row r="106" spans="1:11" ht="14">
      <c r="A106" s="165"/>
      <c r="B106" s="330" t="s">
        <v>792</v>
      </c>
      <c r="C106" s="284" t="str">
        <f>IF(Input!$D$24=Launguage!$D$2,D106,IF(Input!$D$24=Launguage!$E$2,E106,IF(Input!$D$24=Launguage!$F$2,F106,IF(Input!$D$24=Launguage!$G$2,G106,IF(Input!$D$24=Launguage!$H$2,H106,IF(Input!$D$24=Launguage!$I$2,I106,IF(Input!$D$24=Launguage!$J$2,J106,K106)))))))</f>
        <v>5-Farb-Gerät (24 Zoll)</v>
      </c>
      <c r="D106" s="168" t="s">
        <v>78</v>
      </c>
      <c r="E106" s="168" t="s">
        <v>794</v>
      </c>
      <c r="F106" s="168" t="s">
        <v>271</v>
      </c>
      <c r="G106" s="168" t="s">
        <v>455</v>
      </c>
      <c r="H106" s="168" t="s">
        <v>78</v>
      </c>
      <c r="I106" s="168" t="s">
        <v>614</v>
      </c>
      <c r="J106" s="168" t="s">
        <v>704</v>
      </c>
      <c r="K106" s="338"/>
    </row>
    <row r="107" spans="1:11" ht="14">
      <c r="A107" s="165"/>
      <c r="B107" s="330" t="s">
        <v>793</v>
      </c>
      <c r="C107" s="284" t="str">
        <f>IF(Input!$D$24=Launguage!$D$2,D107,IF(Input!$D$24=Launguage!$E$2,E107,IF(Input!$D$24=Launguage!$F$2,F107,IF(Input!$D$24=Launguage!$G$2,G107,IF(Input!$D$24=Launguage!$H$2,H107,IF(Input!$D$24=Launguage!$I$2,I107,IF(Input!$D$24=Launguage!$J$2,J107,K107)))))))</f>
        <v>5-Farb-Gerät (36 Zoll)</v>
      </c>
      <c r="D107" s="168" t="s">
        <v>84</v>
      </c>
      <c r="E107" s="168" t="s">
        <v>795</v>
      </c>
      <c r="F107" s="168" t="s">
        <v>274</v>
      </c>
      <c r="G107" s="168" t="s">
        <v>458</v>
      </c>
      <c r="H107" s="168" t="s">
        <v>84</v>
      </c>
      <c r="I107" s="168" t="s">
        <v>617</v>
      </c>
      <c r="J107" s="168" t="s">
        <v>707</v>
      </c>
      <c r="K107" s="338"/>
    </row>
    <row r="108" spans="1:11">
      <c r="A108" s="165">
        <v>105</v>
      </c>
      <c r="B108" s="304"/>
      <c r="C108" s="284"/>
      <c r="D108" s="168"/>
      <c r="E108" s="168"/>
      <c r="F108" s="168"/>
      <c r="G108" s="168"/>
      <c r="H108" s="168"/>
      <c r="I108" s="168"/>
      <c r="J108" s="168"/>
      <c r="K108" s="292"/>
    </row>
    <row r="109" spans="1:11">
      <c r="A109" s="165">
        <v>106</v>
      </c>
      <c r="B109" s="304"/>
      <c r="C109" s="284"/>
      <c r="D109" s="168"/>
      <c r="E109" s="168"/>
      <c r="F109" s="168"/>
      <c r="G109" s="168"/>
      <c r="H109" s="168"/>
      <c r="I109" s="168"/>
      <c r="J109" s="168"/>
      <c r="K109" s="292"/>
    </row>
    <row r="110" spans="1:11" ht="14">
      <c r="A110" s="165">
        <v>107</v>
      </c>
      <c r="B110" s="303"/>
      <c r="C110" s="284" t="str">
        <f>IF(Input!$D$24=Launguage!$D$2,D110,IF(Input!$D$24=Launguage!$E$2,E110,IF(Input!$D$24=Launguage!$F$2,F110,IF(Input!$D$24=Launguage!$G$2,G110,IF(Input!$D$24=Launguage!$H$2,H110,IF(Input!$D$24=Launguage!$I$2,I110,IF(Input!$D$24=Launguage!$J$2,J110,K110)))))))</f>
        <v>Foto</v>
      </c>
      <c r="D110" s="168" t="s">
        <v>781</v>
      </c>
      <c r="E110" s="168" t="s">
        <v>783</v>
      </c>
      <c r="F110" s="168" t="s">
        <v>280</v>
      </c>
      <c r="G110" s="168" t="s">
        <v>781</v>
      </c>
      <c r="H110" s="168" t="s">
        <v>783</v>
      </c>
      <c r="I110" s="168" t="s">
        <v>781</v>
      </c>
      <c r="J110" s="168" t="s">
        <v>786</v>
      </c>
      <c r="K110" s="292"/>
    </row>
    <row r="111" spans="1:11" ht="14">
      <c r="A111" s="165">
        <v>108</v>
      </c>
      <c r="B111" s="303"/>
      <c r="C111" s="284" t="str">
        <f>IF(Input!$D$24=Launguage!$D$2,D111,IF(Input!$D$24=Launguage!$E$2,E111,IF(Input!$D$24=Launguage!$F$2,F111,IF(Input!$D$24=Launguage!$G$2,G111,IF(Input!$D$24=Launguage!$H$2,H111,IF(Input!$D$24=Launguage!$I$2,I111,IF(Input!$D$24=Launguage!$J$2,J111,K111)))))))</f>
        <v>CAD-Zeichnung</v>
      </c>
      <c r="D111" s="168" t="s">
        <v>174</v>
      </c>
      <c r="E111" s="168" t="s">
        <v>779</v>
      </c>
      <c r="F111" s="168" t="s">
        <v>281</v>
      </c>
      <c r="G111" s="168" t="s">
        <v>464</v>
      </c>
      <c r="H111" s="168" t="s">
        <v>544</v>
      </c>
      <c r="I111" s="168" t="s">
        <v>174</v>
      </c>
      <c r="J111" s="168" t="s">
        <v>787</v>
      </c>
      <c r="K111" s="292"/>
    </row>
    <row r="112" spans="1:11" ht="14">
      <c r="A112" s="165">
        <v>109</v>
      </c>
      <c r="B112" s="303"/>
      <c r="C112" s="284" t="str">
        <f>IF(Input!$D$24=Launguage!$D$2,D112,IF(Input!$D$24=Launguage!$E$2,E112,IF(Input!$D$24=Launguage!$F$2,F112,IF(Input!$D$24=Launguage!$G$2,G112,IF(Input!$D$24=Launguage!$H$2,H112,IF(Input!$D$24=Launguage!$I$2,I112,IF(Input!$D$24=Launguage!$J$2,J112,K112)))))))</f>
        <v>Beschichtetes Papier</v>
      </c>
      <c r="D112" s="168" t="s">
        <v>26</v>
      </c>
      <c r="E112" s="168" t="s">
        <v>377</v>
      </c>
      <c r="F112" s="168" t="s">
        <v>304</v>
      </c>
      <c r="G112" s="180" t="s">
        <v>465</v>
      </c>
      <c r="H112" s="168" t="s">
        <v>547</v>
      </c>
      <c r="I112" s="168" t="s">
        <v>623</v>
      </c>
      <c r="J112" s="168" t="s">
        <v>716</v>
      </c>
      <c r="K112" s="292"/>
    </row>
    <row r="113" spans="1:11" ht="14">
      <c r="A113" s="165">
        <v>110</v>
      </c>
      <c r="B113" s="303"/>
      <c r="C113" s="284" t="str">
        <f>IF(Input!$D$24=Launguage!$D$2,D113,IF(Input!$D$24=Launguage!$E$2,E113,IF(Input!$D$24=Launguage!$F$2,F113,IF(Input!$D$24=Launguage!$G$2,G113,IF(Input!$D$24=Launguage!$H$2,H113,IF(Input!$D$24=Launguage!$I$2,I113,IF(Input!$D$24=Launguage!$J$2,J113,K113)))))))</f>
        <v>Normalpapier</v>
      </c>
      <c r="D113" s="168" t="s">
        <v>182</v>
      </c>
      <c r="E113" s="168" t="s">
        <v>378</v>
      </c>
      <c r="F113" s="168" t="s">
        <v>303</v>
      </c>
      <c r="G113" s="180" t="s">
        <v>466</v>
      </c>
      <c r="H113" s="168" t="s">
        <v>548</v>
      </c>
      <c r="I113" s="168" t="s">
        <v>624</v>
      </c>
      <c r="J113" s="168" t="s">
        <v>717</v>
      </c>
      <c r="K113" s="292"/>
    </row>
    <row r="114" spans="1:11" ht="14">
      <c r="A114" s="165">
        <v>111</v>
      </c>
      <c r="B114" s="303"/>
      <c r="C114" s="284" t="str">
        <f>IF(Input!$D$24=Launguage!$D$2,D114,IF(Input!$D$24=Launguage!$E$2,E114,IF(Input!$D$24=Launguage!$F$2,F114,IF(Input!$D$24=Launguage!$G$2,G114,IF(Input!$D$24=Launguage!$H$2,H114,IF(Input!$D$24=Launguage!$I$2,I114,IF(Input!$D$24=Launguage!$J$2,J114,K114)))))))</f>
        <v>Stunden</v>
      </c>
      <c r="D114" s="168" t="s">
        <v>295</v>
      </c>
      <c r="E114" s="168" t="s">
        <v>778</v>
      </c>
      <c r="F114" s="168" t="s">
        <v>296</v>
      </c>
      <c r="G114" s="168" t="s">
        <v>467</v>
      </c>
      <c r="H114" s="168" t="s">
        <v>545</v>
      </c>
      <c r="I114" s="168" t="s">
        <v>625</v>
      </c>
      <c r="J114" s="168" t="s">
        <v>718</v>
      </c>
      <c r="K114" s="292"/>
    </row>
    <row r="115" spans="1:11" ht="14">
      <c r="A115" s="165">
        <v>112</v>
      </c>
      <c r="B115" s="303"/>
      <c r="C115" s="284" t="str">
        <f>IF(Input!$D$24=Launguage!$D$2,D115,IF(Input!$D$24=Launguage!$E$2,E115,IF(Input!$D$24=Launguage!$F$2,F115,IF(Input!$D$24=Launguage!$G$2,G115,IF(Input!$D$24=Launguage!$H$2,H115,IF(Input!$D$24=Launguage!$I$2,I115,IF(Input!$D$24=Launguage!$J$2,J115,K115)))))))</f>
        <v>Tage</v>
      </c>
      <c r="D115" s="168" t="s">
        <v>297</v>
      </c>
      <c r="E115" s="168" t="s">
        <v>775</v>
      </c>
      <c r="F115" s="168" t="s">
        <v>298</v>
      </c>
      <c r="G115" s="168" t="s">
        <v>468</v>
      </c>
      <c r="H115" s="168" t="s">
        <v>546</v>
      </c>
      <c r="I115" s="168" t="s">
        <v>626</v>
      </c>
      <c r="J115" s="168" t="s">
        <v>668</v>
      </c>
      <c r="K115" s="292"/>
    </row>
    <row r="116" spans="1:11" ht="14">
      <c r="A116" s="165">
        <v>113</v>
      </c>
      <c r="B116" s="303"/>
      <c r="C116" s="284" t="str">
        <f>IF(Input!$D$24=Launguage!$D$2,D116,IF(Input!$D$24=Launguage!$E$2,E116,IF(Input!$D$24=Launguage!$F$2,F116,IF(Input!$D$24=Launguage!$G$2,G116,IF(Input!$D$24=Launguage!$H$2,H116,IF(Input!$D$24=Launguage!$I$2,I116,IF(Input!$D$24=Launguage!$J$2,J116,K116)))))))</f>
        <v>Foto (ISO JIS SCID Nr.5)</v>
      </c>
      <c r="D116" s="168" t="s">
        <v>780</v>
      </c>
      <c r="E116" s="168" t="s">
        <v>782</v>
      </c>
      <c r="F116" s="168" t="s">
        <v>305</v>
      </c>
      <c r="G116" s="168" t="s">
        <v>780</v>
      </c>
      <c r="H116" s="168" t="s">
        <v>784</v>
      </c>
      <c r="I116" s="168" t="s">
        <v>785</v>
      </c>
      <c r="J116" s="168" t="s">
        <v>714</v>
      </c>
      <c r="K116" s="292"/>
    </row>
    <row r="117" spans="1:11" ht="42">
      <c r="A117" s="165">
        <v>114</v>
      </c>
      <c r="B117" s="303"/>
      <c r="C117" s="284" t="str">
        <f>IF(Input!$D$24=Launguage!$D$2,D117,IF(Input!$D$24=Launguage!$E$2,E117,IF(Input!$D$24=Launguage!$F$2,F117,IF(Input!$D$24=Launguage!$G$2,G117,IF(Input!$D$24=Launguage!$H$2,H117,IF(Input!$D$24=Launguage!$I$2,I117,IF(Input!$D$24=Launguage!$J$2,J117,K117)))))))</f>
        <v xml:space="preserve">CAD-Zeichnung (Cottage) </v>
      </c>
      <c r="D117" s="168" t="s">
        <v>789</v>
      </c>
      <c r="E117" s="168" t="s">
        <v>788</v>
      </c>
      <c r="F117" s="168" t="s">
        <v>306</v>
      </c>
      <c r="G117" s="168" t="s">
        <v>790</v>
      </c>
      <c r="H117" s="168" t="s">
        <v>791</v>
      </c>
      <c r="I117" s="168" t="s">
        <v>789</v>
      </c>
      <c r="J117" s="168" t="s">
        <v>715</v>
      </c>
      <c r="K117" s="292"/>
    </row>
    <row r="118" spans="1:11" ht="14">
      <c r="A118" s="165">
        <v>115</v>
      </c>
      <c r="B118" s="303"/>
      <c r="C118" s="284" t="str">
        <f>IF(Input!$D$24=Launguage!$D$2,D118,IF(Input!$D$24=Launguage!$E$2,E118,IF(Input!$D$24=Launguage!$F$2,F118,IF(Input!$D$24=Launguage!$G$2,G118,IF(Input!$D$24=Launguage!$H$2,H118,IF(Input!$D$24=Launguage!$I$2,I118,IF(Input!$D$24=Launguage!$J$2,J118,K118)))))))</f>
        <v>Jahre</v>
      </c>
      <c r="D118" s="168" t="s">
        <v>506</v>
      </c>
      <c r="E118" s="168" t="s">
        <v>777</v>
      </c>
      <c r="F118" s="168" t="s">
        <v>509</v>
      </c>
      <c r="G118" s="168" t="s">
        <v>508</v>
      </c>
      <c r="H118" s="168" t="s">
        <v>507</v>
      </c>
      <c r="I118" s="168" t="s">
        <v>627</v>
      </c>
      <c r="J118" s="168" t="s">
        <v>719</v>
      </c>
      <c r="K118" s="292"/>
    </row>
    <row r="119" spans="1:11" ht="14">
      <c r="A119" s="165">
        <v>116</v>
      </c>
      <c r="B119" s="303"/>
      <c r="C119" s="284" t="str">
        <f>IF(Input!$D$24=Launguage!$D$2,D119,IF(Input!$D$24=Launguage!$E$2,E119,IF(Input!$D$24=Launguage!$F$2,F119,IF(Input!$D$24=Launguage!$G$2,G119,IF(Input!$D$24=Launguage!$H$2,H119,IF(Input!$D$24=Launguage!$I$2,I119,IF(Input!$D$24=Launguage!$J$2,J119,K119)))))))</f>
        <v>ml</v>
      </c>
      <c r="D119" s="168" t="s">
        <v>725</v>
      </c>
      <c r="E119" s="168" t="s">
        <v>725</v>
      </c>
      <c r="F119" s="168" t="s">
        <v>725</v>
      </c>
      <c r="G119" s="168" t="s">
        <v>725</v>
      </c>
      <c r="H119" s="168" t="s">
        <v>725</v>
      </c>
      <c r="I119" s="168" t="s">
        <v>725</v>
      </c>
      <c r="J119" s="168" t="s">
        <v>726</v>
      </c>
      <c r="K119" s="292"/>
    </row>
    <row r="120" spans="1:11" ht="14">
      <c r="A120" s="165">
        <v>117</v>
      </c>
      <c r="B120" s="303" t="s">
        <v>289</v>
      </c>
      <c r="C120" s="284" t="str">
        <f>IF(Input!$D$24=Launguage!$D$2,D120,IF(Input!$D$24=Launguage!$E$2,E120,IF(Input!$D$24=Launguage!$F$2,F120,IF(Input!$D$24=Launguage!$G$2,G120,IF(Input!$D$24=Launguage!$H$2,H120,IF(Input!$D$24=Launguage!$I$2,I120,IF(Input!$D$24=Launguage!$J$2,J120,K120)))))))</f>
        <v>Monat</v>
      </c>
      <c r="D120" s="168" t="s">
        <v>288</v>
      </c>
      <c r="E120" s="168" t="s">
        <v>367</v>
      </c>
      <c r="F120" s="168" t="s">
        <v>290</v>
      </c>
      <c r="G120" s="168" t="s">
        <v>471</v>
      </c>
      <c r="H120" s="168" t="s">
        <v>549</v>
      </c>
      <c r="I120" s="168" t="s">
        <v>628</v>
      </c>
      <c r="J120" s="167" t="s">
        <v>721</v>
      </c>
      <c r="K120" s="292"/>
    </row>
    <row r="121" spans="1:11" ht="28">
      <c r="A121" s="165">
        <v>118</v>
      </c>
      <c r="B121" s="303"/>
      <c r="C121" s="284" t="str">
        <f>IF(Input!$D$24=Launguage!$D$2,D121,IF(Input!$D$24=Launguage!$E$2,E121,IF(Input!$D$24=Launguage!$F$2,F121,IF(Input!$D$24=Launguage!$G$2,G121,IF(Input!$D$24=Launguage!$H$2,H121,IF(Input!$D$24=Launguage!$I$2,I121,IF(Input!$D$24=Launguage!$J$2,J121,K121)))))))</f>
        <v>Monat 1
(kauf)</v>
      </c>
      <c r="D121" s="168" t="s">
        <v>292</v>
      </c>
      <c r="E121" s="168" t="s">
        <v>368</v>
      </c>
      <c r="F121" s="168" t="s">
        <v>291</v>
      </c>
      <c r="G121" s="168" t="s">
        <v>472</v>
      </c>
      <c r="H121" s="168" t="s">
        <v>550</v>
      </c>
      <c r="I121" s="168" t="s">
        <v>629</v>
      </c>
      <c r="J121" s="168" t="s">
        <v>720</v>
      </c>
      <c r="K121" s="292"/>
    </row>
    <row r="122" spans="1:11" ht="14">
      <c r="A122" s="165">
        <v>119</v>
      </c>
      <c r="B122" s="302"/>
      <c r="C122" s="285" t="s">
        <v>756</v>
      </c>
      <c r="D122" s="166" t="s">
        <v>756</v>
      </c>
      <c r="E122" s="166" t="s">
        <v>757</v>
      </c>
      <c r="F122" s="166" t="s">
        <v>756</v>
      </c>
      <c r="G122" s="166" t="s">
        <v>756</v>
      </c>
      <c r="H122" s="166" t="s">
        <v>756</v>
      </c>
      <c r="I122" s="166" t="s">
        <v>756</v>
      </c>
      <c r="J122" s="166" t="s">
        <v>756</v>
      </c>
      <c r="K122" s="295"/>
    </row>
    <row r="123" spans="1:11">
      <c r="A123" s="274">
        <v>120</v>
      </c>
      <c r="B123" s="277"/>
      <c r="C123" s="278"/>
      <c r="D123" s="278"/>
      <c r="E123" s="278"/>
      <c r="F123" s="278"/>
      <c r="G123" s="278"/>
      <c r="H123" s="278"/>
      <c r="I123" s="278"/>
      <c r="J123" s="278"/>
      <c r="K123" s="300"/>
    </row>
    <row r="124" spans="1:11" ht="30" customHeight="1" thickBot="1">
      <c r="A124" s="274">
        <v>121</v>
      </c>
      <c r="B124" s="272"/>
      <c r="C124" s="280"/>
      <c r="D124" s="280"/>
      <c r="E124" s="280"/>
      <c r="F124" s="280"/>
      <c r="G124" s="280"/>
      <c r="H124" s="280"/>
      <c r="I124" s="280"/>
      <c r="J124" s="280"/>
      <c r="K124" s="300"/>
    </row>
    <row r="125" spans="1:11">
      <c r="A125" s="274">
        <v>122</v>
      </c>
      <c r="B125" s="24"/>
      <c r="C125" s="279"/>
      <c r="D125" s="279"/>
      <c r="E125" s="279"/>
      <c r="F125" s="279"/>
      <c r="G125" s="279"/>
      <c r="H125" s="279"/>
      <c r="I125" s="279"/>
      <c r="J125" s="279"/>
      <c r="K125" s="300"/>
    </row>
    <row r="126" spans="1:11">
      <c r="A126" s="274">
        <v>123</v>
      </c>
      <c r="B126" s="24"/>
      <c r="C126" s="279"/>
      <c r="D126" s="279"/>
      <c r="E126" s="279"/>
      <c r="F126" s="279"/>
      <c r="G126" s="279"/>
      <c r="H126" s="279"/>
      <c r="I126" s="279"/>
      <c r="J126" s="279"/>
      <c r="K126" s="300"/>
    </row>
    <row r="127" spans="1:11">
      <c r="A127" s="274">
        <v>124</v>
      </c>
      <c r="B127" s="24"/>
      <c r="C127" s="279"/>
      <c r="D127" s="279"/>
      <c r="E127" s="279"/>
      <c r="F127" s="279"/>
      <c r="G127" s="279"/>
      <c r="H127" s="279"/>
      <c r="I127" s="279"/>
      <c r="J127" s="279"/>
      <c r="K127" s="300"/>
    </row>
    <row r="128" spans="1:11">
      <c r="A128" s="274">
        <v>125</v>
      </c>
      <c r="B128" s="24"/>
      <c r="C128" s="279"/>
      <c r="D128" s="279"/>
      <c r="E128" s="279"/>
      <c r="F128" s="279"/>
      <c r="G128" s="279"/>
      <c r="H128" s="279"/>
      <c r="I128" s="279"/>
      <c r="J128" s="279"/>
      <c r="K128" s="300"/>
    </row>
    <row r="129" spans="1:11">
      <c r="A129" s="274">
        <v>126</v>
      </c>
      <c r="B129" s="24"/>
      <c r="C129" s="279"/>
      <c r="D129" s="279"/>
      <c r="E129" s="279"/>
      <c r="F129" s="279"/>
      <c r="G129" s="279"/>
      <c r="H129" s="279"/>
      <c r="I129" s="279"/>
      <c r="J129" s="279"/>
      <c r="K129" s="300"/>
    </row>
    <row r="130" spans="1:11">
      <c r="A130" s="274">
        <v>127</v>
      </c>
      <c r="B130" s="24"/>
      <c r="C130" s="279"/>
      <c r="D130" s="279"/>
      <c r="E130" s="279"/>
      <c r="F130" s="279"/>
      <c r="G130" s="279"/>
      <c r="H130" s="279"/>
      <c r="I130" s="279"/>
      <c r="J130" s="279"/>
      <c r="K130" s="300"/>
    </row>
    <row r="131" spans="1:11">
      <c r="A131" s="274">
        <v>128</v>
      </c>
      <c r="B131" s="24"/>
      <c r="C131" s="279"/>
      <c r="D131" s="279"/>
      <c r="E131" s="279"/>
      <c r="F131" s="279"/>
      <c r="G131" s="279"/>
      <c r="H131" s="279"/>
      <c r="I131" s="279"/>
      <c r="J131" s="279"/>
      <c r="K131" s="300"/>
    </row>
    <row r="132" spans="1:11">
      <c r="A132" s="274">
        <v>129</v>
      </c>
      <c r="B132" s="24"/>
      <c r="C132" s="279"/>
      <c r="D132" s="279"/>
      <c r="E132" s="279"/>
      <c r="F132" s="279"/>
      <c r="G132" s="279"/>
      <c r="H132" s="279"/>
      <c r="I132" s="279"/>
      <c r="J132" s="279"/>
      <c r="K132" s="300"/>
    </row>
    <row r="133" spans="1:11">
      <c r="A133" s="274">
        <v>130</v>
      </c>
      <c r="B133" s="24"/>
      <c r="C133" s="279"/>
      <c r="D133" s="279"/>
      <c r="E133" s="279"/>
      <c r="F133" s="279"/>
      <c r="G133" s="279"/>
      <c r="H133" s="279"/>
      <c r="I133" s="279"/>
      <c r="J133" s="279"/>
      <c r="K133" s="300"/>
    </row>
    <row r="134" spans="1:11">
      <c r="A134" s="274">
        <v>131</v>
      </c>
      <c r="B134" s="24"/>
      <c r="C134" s="279"/>
      <c r="D134" s="279"/>
      <c r="E134" s="279"/>
      <c r="F134" s="279"/>
      <c r="G134" s="279"/>
      <c r="H134" s="279"/>
      <c r="I134" s="279"/>
      <c r="J134" s="279"/>
      <c r="K134" s="300"/>
    </row>
    <row r="135" spans="1:11">
      <c r="A135" s="274">
        <v>132</v>
      </c>
      <c r="B135" s="24"/>
      <c r="C135" s="279"/>
      <c r="D135" s="279"/>
      <c r="E135" s="279"/>
      <c r="F135" s="279"/>
      <c r="G135" s="279"/>
      <c r="H135" s="279"/>
      <c r="I135" s="279"/>
      <c r="J135" s="279"/>
      <c r="K135" s="300"/>
    </row>
    <row r="136" spans="1:11">
      <c r="A136" s="274">
        <v>133</v>
      </c>
      <c r="B136" s="24"/>
      <c r="C136" s="279"/>
      <c r="D136" s="279"/>
      <c r="E136" s="279"/>
      <c r="F136" s="279"/>
      <c r="G136" s="279"/>
      <c r="H136" s="279"/>
      <c r="I136" s="279"/>
      <c r="J136" s="279"/>
      <c r="K136" s="300"/>
    </row>
    <row r="137" spans="1:11">
      <c r="A137" s="274">
        <v>134</v>
      </c>
      <c r="B137" s="24"/>
      <c r="C137" s="279"/>
      <c r="D137" s="279"/>
      <c r="E137" s="279"/>
      <c r="F137" s="279"/>
      <c r="G137" s="279"/>
      <c r="H137" s="279"/>
      <c r="I137" s="279"/>
      <c r="J137" s="279"/>
      <c r="K137" s="300"/>
    </row>
    <row r="138" spans="1:11">
      <c r="A138" s="274">
        <v>135</v>
      </c>
      <c r="B138" s="24"/>
      <c r="C138" s="279"/>
      <c r="D138" s="279"/>
      <c r="E138" s="279"/>
      <c r="F138" s="279"/>
      <c r="G138" s="279"/>
      <c r="H138" s="279"/>
      <c r="I138" s="279"/>
      <c r="J138" s="279"/>
      <c r="K138" s="300"/>
    </row>
    <row r="139" spans="1:11">
      <c r="A139" s="274">
        <v>136</v>
      </c>
      <c r="B139" s="24"/>
      <c r="C139" s="279"/>
      <c r="D139" s="279"/>
      <c r="E139" s="279"/>
      <c r="F139" s="279"/>
      <c r="G139" s="279"/>
      <c r="H139" s="279"/>
      <c r="I139" s="279"/>
      <c r="J139" s="279"/>
      <c r="K139" s="300"/>
    </row>
    <row r="140" spans="1:11">
      <c r="A140" s="274">
        <v>137</v>
      </c>
      <c r="B140" s="24"/>
      <c r="C140" s="279"/>
      <c r="D140" s="279"/>
      <c r="E140" s="279"/>
      <c r="F140" s="279"/>
      <c r="G140" s="279"/>
      <c r="H140" s="279"/>
      <c r="I140" s="279"/>
      <c r="J140" s="279"/>
      <c r="K140" s="300"/>
    </row>
    <row r="141" spans="1:11">
      <c r="A141" s="274">
        <v>138</v>
      </c>
      <c r="B141" s="24"/>
      <c r="C141" s="279"/>
      <c r="D141" s="279"/>
      <c r="E141" s="279"/>
      <c r="F141" s="279"/>
      <c r="G141" s="279"/>
      <c r="H141" s="279"/>
      <c r="I141" s="279"/>
      <c r="J141" s="279"/>
      <c r="K141" s="300"/>
    </row>
    <row r="142" spans="1:11">
      <c r="A142" s="274">
        <v>139</v>
      </c>
      <c r="B142" s="24"/>
      <c r="C142" s="279"/>
      <c r="D142" s="279"/>
      <c r="E142" s="279"/>
      <c r="F142" s="279"/>
      <c r="G142" s="279"/>
      <c r="H142" s="279"/>
      <c r="I142" s="279"/>
      <c r="J142" s="279"/>
      <c r="K142" s="300"/>
    </row>
    <row r="143" spans="1:11">
      <c r="A143" s="274">
        <v>140</v>
      </c>
      <c r="B143" s="24"/>
      <c r="C143" s="279"/>
      <c r="D143" s="279"/>
      <c r="E143" s="279"/>
      <c r="F143" s="279"/>
      <c r="G143" s="279"/>
      <c r="H143" s="279"/>
      <c r="I143" s="279"/>
      <c r="J143" s="279"/>
      <c r="K143" s="300"/>
    </row>
    <row r="144" spans="1:11">
      <c r="A144" s="274">
        <v>141</v>
      </c>
      <c r="B144" s="24"/>
      <c r="C144" s="279"/>
      <c r="D144" s="279"/>
      <c r="E144" s="279"/>
      <c r="F144" s="279"/>
      <c r="G144" s="279"/>
      <c r="H144" s="279"/>
      <c r="I144" s="279"/>
      <c r="J144" s="279"/>
      <c r="K144" s="300"/>
    </row>
    <row r="145" spans="1:11">
      <c r="A145" s="274">
        <v>142</v>
      </c>
      <c r="B145" s="24"/>
      <c r="C145" s="279"/>
      <c r="D145" s="279"/>
      <c r="E145" s="279"/>
      <c r="F145" s="279"/>
      <c r="G145" s="279"/>
      <c r="H145" s="279"/>
      <c r="I145" s="279"/>
      <c r="J145" s="279"/>
      <c r="K145" s="300"/>
    </row>
    <row r="146" spans="1:11">
      <c r="A146" s="274">
        <v>143</v>
      </c>
      <c r="B146" s="24"/>
      <c r="C146" s="279"/>
      <c r="D146" s="279"/>
      <c r="E146" s="279"/>
      <c r="F146" s="279"/>
      <c r="G146" s="279"/>
      <c r="H146" s="279"/>
      <c r="I146" s="279"/>
      <c r="J146" s="279"/>
      <c r="K146" s="300"/>
    </row>
    <row r="147" spans="1:11">
      <c r="A147" s="274">
        <v>144</v>
      </c>
      <c r="B147" s="24"/>
      <c r="C147" s="279"/>
      <c r="D147" s="279"/>
      <c r="E147" s="279"/>
      <c r="F147" s="279"/>
      <c r="G147" s="279"/>
      <c r="H147" s="279"/>
      <c r="I147" s="279"/>
      <c r="J147" s="279"/>
      <c r="K147" s="300"/>
    </row>
    <row r="148" spans="1:11">
      <c r="A148" s="165">
        <v>145</v>
      </c>
      <c r="B148" s="24"/>
      <c r="C148" s="279"/>
      <c r="D148" s="279"/>
      <c r="E148" s="279"/>
      <c r="F148" s="279"/>
      <c r="G148" s="279"/>
      <c r="H148" s="279"/>
      <c r="I148" s="279"/>
      <c r="J148" s="279"/>
      <c r="K148" s="279"/>
    </row>
    <row r="149" spans="1:11">
      <c r="A149" s="165">
        <v>146</v>
      </c>
      <c r="B149" s="275"/>
      <c r="C149" s="276"/>
      <c r="D149" s="276"/>
      <c r="E149" s="276"/>
      <c r="F149" s="276"/>
      <c r="G149" s="276"/>
      <c r="H149" s="276"/>
      <c r="I149" s="276"/>
      <c r="J149" s="276"/>
      <c r="K149" s="276"/>
    </row>
    <row r="150" spans="1:11">
      <c r="A150" s="165">
        <v>147</v>
      </c>
      <c r="B150" s="167"/>
      <c r="C150" s="168"/>
      <c r="D150" s="168"/>
      <c r="E150" s="168"/>
      <c r="F150" s="168"/>
      <c r="G150" s="168"/>
      <c r="H150" s="168"/>
      <c r="I150" s="168"/>
      <c r="J150" s="168"/>
      <c r="K150" s="168"/>
    </row>
    <row r="151" spans="1:11">
      <c r="A151" s="165">
        <v>148</v>
      </c>
      <c r="B151" s="167"/>
      <c r="C151" s="168"/>
      <c r="D151" s="168"/>
      <c r="E151" s="168"/>
      <c r="F151" s="168"/>
      <c r="G151" s="168"/>
      <c r="H151" s="168"/>
      <c r="I151" s="168"/>
      <c r="J151" s="168"/>
      <c r="K151" s="168"/>
    </row>
    <row r="152" spans="1:11">
      <c r="A152" s="165">
        <v>149</v>
      </c>
      <c r="B152" s="167"/>
      <c r="C152" s="168"/>
      <c r="D152" s="168"/>
      <c r="E152" s="168"/>
      <c r="F152" s="168"/>
      <c r="G152" s="168"/>
      <c r="H152" s="168"/>
      <c r="I152" s="168"/>
      <c r="J152" s="168"/>
      <c r="K152" s="168"/>
    </row>
    <row r="153" spans="1:11">
      <c r="A153" s="165">
        <v>150</v>
      </c>
      <c r="B153" s="167"/>
      <c r="C153" s="168"/>
      <c r="D153" s="168"/>
      <c r="E153" s="168"/>
      <c r="F153" s="168"/>
      <c r="G153" s="168"/>
      <c r="H153" s="168"/>
      <c r="I153" s="168"/>
      <c r="J153" s="168"/>
      <c r="K153" s="168"/>
    </row>
    <row r="154" spans="1:11">
      <c r="A154" s="165">
        <v>151</v>
      </c>
      <c r="B154" s="167"/>
      <c r="C154" s="168"/>
      <c r="D154" s="168"/>
      <c r="E154" s="168"/>
      <c r="F154" s="168"/>
      <c r="G154" s="168"/>
      <c r="H154" s="168"/>
      <c r="I154" s="168"/>
      <c r="J154" s="168"/>
      <c r="K154" s="168"/>
    </row>
    <row r="155" spans="1:11">
      <c r="A155" s="165">
        <v>152</v>
      </c>
      <c r="B155" s="167"/>
      <c r="C155" s="168"/>
      <c r="D155" s="168"/>
      <c r="E155" s="168"/>
      <c r="F155" s="168"/>
      <c r="G155" s="168"/>
      <c r="H155" s="168"/>
      <c r="I155" s="168"/>
      <c r="J155" s="168"/>
      <c r="K155" s="168"/>
    </row>
    <row r="156" spans="1:11">
      <c r="A156" s="165">
        <v>153</v>
      </c>
      <c r="B156" s="167"/>
      <c r="C156" s="168"/>
      <c r="D156" s="168"/>
      <c r="E156" s="168"/>
      <c r="F156" s="168"/>
      <c r="G156" s="168"/>
      <c r="H156" s="168"/>
      <c r="I156" s="168"/>
      <c r="J156" s="168"/>
      <c r="K156" s="168"/>
    </row>
    <row r="157" spans="1:11">
      <c r="A157" s="165">
        <v>154</v>
      </c>
      <c r="B157" s="167"/>
      <c r="C157" s="168"/>
      <c r="D157" s="168"/>
      <c r="E157" s="168"/>
      <c r="F157" s="168"/>
      <c r="G157" s="168"/>
      <c r="H157" s="168"/>
      <c r="I157" s="168"/>
      <c r="J157" s="168"/>
      <c r="K157" s="168"/>
    </row>
    <row r="158" spans="1:11">
      <c r="A158" s="165">
        <v>155</v>
      </c>
      <c r="B158" s="167"/>
      <c r="C158" s="168"/>
      <c r="D158" s="168"/>
      <c r="E158" s="168"/>
      <c r="F158" s="168"/>
      <c r="G158" s="168"/>
      <c r="H158" s="168"/>
      <c r="I158" s="168"/>
      <c r="J158" s="168"/>
      <c r="K158" s="168"/>
    </row>
    <row r="159" spans="1:11">
      <c r="A159" s="165">
        <v>156</v>
      </c>
      <c r="B159" s="167"/>
      <c r="C159" s="168"/>
      <c r="D159" s="168"/>
      <c r="E159" s="168"/>
      <c r="F159" s="168"/>
      <c r="G159" s="168"/>
      <c r="H159" s="168"/>
      <c r="I159" s="168"/>
      <c r="J159" s="168"/>
      <c r="K159" s="168"/>
    </row>
    <row r="160" spans="1:11">
      <c r="A160" s="165">
        <v>157</v>
      </c>
      <c r="B160" s="167"/>
      <c r="C160" s="168"/>
      <c r="D160" s="168"/>
      <c r="E160" s="168"/>
      <c r="F160" s="168"/>
      <c r="G160" s="168"/>
      <c r="H160" s="168"/>
      <c r="I160" s="168"/>
      <c r="J160" s="168"/>
      <c r="K160" s="168"/>
    </row>
    <row r="161" spans="1:11">
      <c r="A161" s="165">
        <v>158</v>
      </c>
      <c r="B161" s="167"/>
      <c r="C161" s="168"/>
      <c r="D161" s="168"/>
      <c r="E161" s="168"/>
      <c r="F161" s="168"/>
      <c r="G161" s="168"/>
      <c r="H161" s="168"/>
      <c r="I161" s="168"/>
      <c r="J161" s="168"/>
      <c r="K161" s="168"/>
    </row>
    <row r="162" spans="1:11">
      <c r="A162" s="165">
        <v>159</v>
      </c>
      <c r="B162" s="167"/>
      <c r="C162" s="168"/>
      <c r="D162" s="168"/>
      <c r="E162" s="168"/>
      <c r="F162" s="168"/>
      <c r="G162" s="168"/>
      <c r="H162" s="168"/>
      <c r="I162" s="168"/>
      <c r="J162" s="168"/>
      <c r="K162" s="168"/>
    </row>
    <row r="163" spans="1:11">
      <c r="A163" s="165">
        <v>160</v>
      </c>
      <c r="B163" s="167"/>
      <c r="C163" s="168"/>
      <c r="D163" s="168"/>
      <c r="E163" s="168"/>
      <c r="F163" s="168"/>
      <c r="G163" s="168"/>
      <c r="H163" s="168"/>
      <c r="I163" s="168"/>
      <c r="J163" s="168"/>
      <c r="K163" s="168"/>
    </row>
    <row r="164" spans="1:11">
      <c r="A164" s="165">
        <v>161</v>
      </c>
      <c r="B164" s="167"/>
      <c r="C164" s="168"/>
      <c r="D164" s="168"/>
      <c r="E164" s="168"/>
      <c r="F164" s="168"/>
      <c r="G164" s="168"/>
      <c r="H164" s="168"/>
      <c r="I164" s="168"/>
      <c r="J164" s="168"/>
      <c r="K164" s="168"/>
    </row>
    <row r="165" spans="1:11">
      <c r="A165" s="165">
        <v>162</v>
      </c>
      <c r="B165" s="167"/>
      <c r="C165" s="168"/>
      <c r="D165" s="168"/>
      <c r="E165" s="168"/>
      <c r="F165" s="168"/>
      <c r="G165" s="168"/>
      <c r="H165" s="168"/>
      <c r="I165" s="168"/>
      <c r="J165" s="168"/>
      <c r="K165" s="168"/>
    </row>
    <row r="166" spans="1:11">
      <c r="A166" s="165">
        <v>163</v>
      </c>
      <c r="B166" s="167"/>
      <c r="C166" s="168"/>
      <c r="D166" s="168"/>
      <c r="E166" s="168"/>
      <c r="F166" s="168"/>
      <c r="G166" s="168"/>
      <c r="H166" s="168"/>
      <c r="I166" s="168"/>
      <c r="J166" s="168"/>
      <c r="K166" s="168"/>
    </row>
    <row r="167" spans="1:11">
      <c r="A167" s="165">
        <v>164</v>
      </c>
      <c r="B167" s="167"/>
      <c r="C167" s="168"/>
      <c r="D167" s="168"/>
      <c r="E167" s="168"/>
      <c r="F167" s="168"/>
      <c r="G167" s="168"/>
      <c r="H167" s="168"/>
      <c r="I167" s="168"/>
      <c r="J167" s="168"/>
      <c r="K167" s="168"/>
    </row>
    <row r="168" spans="1:11">
      <c r="A168" s="165">
        <v>165</v>
      </c>
      <c r="B168" s="167"/>
      <c r="C168" s="168"/>
      <c r="D168" s="168"/>
      <c r="E168" s="168"/>
      <c r="F168" s="168"/>
      <c r="G168" s="168"/>
      <c r="H168" s="168"/>
      <c r="I168" s="168"/>
      <c r="J168" s="168"/>
      <c r="K168" s="168"/>
    </row>
    <row r="169" spans="1:11">
      <c r="A169" s="165">
        <v>166</v>
      </c>
      <c r="B169" s="167"/>
      <c r="C169" s="168"/>
      <c r="D169" s="168"/>
      <c r="E169" s="168"/>
      <c r="F169" s="168"/>
      <c r="G169" s="168"/>
      <c r="H169" s="168"/>
      <c r="I169" s="168"/>
      <c r="J169" s="168"/>
      <c r="K169" s="168"/>
    </row>
    <row r="170" spans="1:11">
      <c r="A170" s="165">
        <v>167</v>
      </c>
      <c r="B170" s="167"/>
      <c r="C170" s="168"/>
      <c r="D170" s="168"/>
      <c r="E170" s="168"/>
      <c r="F170" s="168"/>
      <c r="G170" s="168"/>
      <c r="H170" s="168"/>
      <c r="I170" s="168"/>
      <c r="J170" s="168"/>
      <c r="K170" s="168"/>
    </row>
    <row r="171" spans="1:11">
      <c r="A171" s="165">
        <v>168</v>
      </c>
      <c r="B171" s="167"/>
      <c r="C171" s="168"/>
      <c r="D171" s="168"/>
      <c r="E171" s="168"/>
      <c r="F171" s="168"/>
      <c r="G171" s="168"/>
      <c r="H171" s="168"/>
      <c r="I171" s="168"/>
      <c r="J171" s="168"/>
      <c r="K171" s="168"/>
    </row>
    <row r="172" spans="1:11">
      <c r="A172" s="165">
        <v>169</v>
      </c>
      <c r="B172" s="167"/>
      <c r="C172" s="168"/>
      <c r="D172" s="168"/>
      <c r="E172" s="168"/>
      <c r="F172" s="168"/>
      <c r="G172" s="168"/>
      <c r="H172" s="168"/>
      <c r="I172" s="168"/>
      <c r="J172" s="168"/>
      <c r="K172" s="168"/>
    </row>
    <row r="173" spans="1:11">
      <c r="A173" s="165">
        <v>170</v>
      </c>
      <c r="B173" s="167"/>
      <c r="C173" s="168"/>
      <c r="D173" s="168"/>
      <c r="E173" s="168"/>
      <c r="F173" s="168"/>
      <c r="G173" s="168"/>
      <c r="H173" s="168"/>
      <c r="I173" s="168"/>
      <c r="J173" s="168"/>
      <c r="K173" s="168"/>
    </row>
    <row r="174" spans="1:11">
      <c r="A174" s="165">
        <v>171</v>
      </c>
      <c r="B174" s="167"/>
      <c r="C174" s="168"/>
      <c r="D174" s="168"/>
      <c r="E174" s="168"/>
      <c r="F174" s="168"/>
      <c r="G174" s="168"/>
      <c r="H174" s="168"/>
      <c r="I174" s="168"/>
      <c r="J174" s="168"/>
      <c r="K174" s="168"/>
    </row>
    <row r="175" spans="1:11">
      <c r="A175" s="165">
        <v>172</v>
      </c>
      <c r="B175" s="167"/>
      <c r="C175" s="168"/>
      <c r="D175" s="168"/>
      <c r="E175" s="168"/>
      <c r="F175" s="168"/>
      <c r="G175" s="168"/>
      <c r="H175" s="168"/>
      <c r="I175" s="168"/>
      <c r="J175" s="168"/>
      <c r="K175" s="168"/>
    </row>
    <row r="176" spans="1:11">
      <c r="A176" s="165">
        <v>173</v>
      </c>
      <c r="B176" s="167"/>
      <c r="C176" s="168"/>
      <c r="D176" s="168"/>
      <c r="E176" s="168"/>
      <c r="F176" s="168"/>
      <c r="G176" s="168"/>
      <c r="H176" s="168"/>
      <c r="I176" s="168"/>
      <c r="J176" s="168"/>
      <c r="K176" s="168"/>
    </row>
    <row r="177" spans="1:11">
      <c r="A177" s="165">
        <v>174</v>
      </c>
      <c r="B177" s="167"/>
      <c r="C177" s="168"/>
      <c r="D177" s="168"/>
      <c r="E177" s="168"/>
      <c r="F177" s="168"/>
      <c r="G177" s="168"/>
      <c r="H177" s="168"/>
      <c r="I177" s="168"/>
      <c r="J177" s="168"/>
      <c r="K177" s="168"/>
    </row>
    <row r="178" spans="1:11">
      <c r="A178" s="165">
        <v>175</v>
      </c>
      <c r="B178" s="167"/>
      <c r="C178" s="168"/>
      <c r="D178" s="168"/>
      <c r="E178" s="168"/>
      <c r="F178" s="168"/>
      <c r="G178" s="168"/>
      <c r="H178" s="168"/>
      <c r="I178" s="168"/>
      <c r="J178" s="168"/>
      <c r="K178" s="168"/>
    </row>
    <row r="179" spans="1:11">
      <c r="A179" s="165">
        <v>176</v>
      </c>
      <c r="B179" s="167"/>
      <c r="C179" s="168"/>
      <c r="D179" s="168"/>
      <c r="E179" s="168"/>
      <c r="F179" s="168"/>
      <c r="G179" s="168"/>
      <c r="H179" s="168"/>
      <c r="I179" s="168"/>
      <c r="J179" s="168"/>
      <c r="K179" s="168"/>
    </row>
    <row r="180" spans="1:11">
      <c r="A180" s="165">
        <v>177</v>
      </c>
      <c r="B180" s="167"/>
      <c r="C180" s="168"/>
      <c r="D180" s="168"/>
      <c r="E180" s="168"/>
      <c r="F180" s="168"/>
      <c r="G180" s="168"/>
      <c r="H180" s="168"/>
      <c r="I180" s="168"/>
      <c r="J180" s="168"/>
      <c r="K180" s="168"/>
    </row>
    <row r="181" spans="1:11">
      <c r="A181" s="165">
        <v>178</v>
      </c>
      <c r="B181" s="167"/>
      <c r="C181" s="168"/>
      <c r="D181" s="168"/>
      <c r="E181" s="168"/>
      <c r="F181" s="168"/>
      <c r="G181" s="168"/>
      <c r="H181" s="168"/>
      <c r="I181" s="168"/>
      <c r="J181" s="168"/>
      <c r="K181" s="168"/>
    </row>
    <row r="182" spans="1:11">
      <c r="A182" s="165">
        <v>179</v>
      </c>
      <c r="B182" s="167"/>
      <c r="C182" s="168"/>
      <c r="D182" s="168"/>
      <c r="E182" s="168"/>
      <c r="F182" s="168"/>
      <c r="G182" s="168"/>
      <c r="H182" s="168"/>
      <c r="I182" s="168"/>
      <c r="J182" s="168"/>
      <c r="K182" s="168"/>
    </row>
    <row r="183" spans="1:11">
      <c r="A183" s="165">
        <v>180</v>
      </c>
      <c r="B183" s="167"/>
      <c r="C183" s="168"/>
      <c r="D183" s="168"/>
      <c r="E183" s="168"/>
      <c r="F183" s="168"/>
      <c r="G183" s="168"/>
      <c r="H183" s="168"/>
      <c r="I183" s="168"/>
      <c r="J183" s="168"/>
      <c r="K183" s="168"/>
    </row>
    <row r="184" spans="1:11">
      <c r="A184" s="165">
        <v>181</v>
      </c>
      <c r="B184" s="167"/>
      <c r="C184" s="168"/>
      <c r="D184" s="168"/>
      <c r="E184" s="168"/>
      <c r="F184" s="168"/>
      <c r="G184" s="168"/>
      <c r="H184" s="168"/>
      <c r="I184" s="168"/>
      <c r="J184" s="168"/>
      <c r="K184" s="168"/>
    </row>
    <row r="185" spans="1:11">
      <c r="A185" s="165">
        <v>182</v>
      </c>
      <c r="B185" s="167"/>
      <c r="C185" s="168"/>
      <c r="D185" s="168"/>
      <c r="E185" s="168"/>
      <c r="F185" s="168"/>
      <c r="G185" s="168"/>
      <c r="H185" s="168"/>
      <c r="I185" s="168"/>
      <c r="J185" s="168"/>
      <c r="K185" s="168"/>
    </row>
    <row r="186" spans="1:11">
      <c r="A186" s="165">
        <v>183</v>
      </c>
      <c r="B186" s="167"/>
      <c r="C186" s="168"/>
      <c r="D186" s="168"/>
      <c r="E186" s="168"/>
      <c r="F186" s="168"/>
      <c r="G186" s="168"/>
      <c r="H186" s="168"/>
      <c r="I186" s="168"/>
      <c r="J186" s="168"/>
      <c r="K186" s="168"/>
    </row>
    <row r="187" spans="1:11">
      <c r="A187" s="165">
        <v>184</v>
      </c>
      <c r="B187" s="167"/>
      <c r="C187" s="168"/>
      <c r="D187" s="168"/>
      <c r="E187" s="168"/>
      <c r="F187" s="168"/>
      <c r="G187" s="168"/>
      <c r="H187" s="168"/>
      <c r="I187" s="168"/>
      <c r="J187" s="168"/>
      <c r="K187" s="168"/>
    </row>
    <row r="188" spans="1:11">
      <c r="A188" s="165">
        <v>185</v>
      </c>
      <c r="B188" s="167"/>
      <c r="C188" s="168"/>
      <c r="D188" s="168"/>
      <c r="E188" s="168"/>
      <c r="F188" s="168"/>
      <c r="G188" s="168"/>
      <c r="H188" s="168"/>
      <c r="I188" s="168"/>
      <c r="J188" s="168"/>
      <c r="K188" s="168"/>
    </row>
    <row r="189" spans="1:11">
      <c r="A189" s="165">
        <v>186</v>
      </c>
      <c r="B189" s="167"/>
      <c r="C189" s="168"/>
      <c r="D189" s="168"/>
      <c r="E189" s="168"/>
      <c r="F189" s="168"/>
      <c r="G189" s="168"/>
      <c r="H189" s="168"/>
      <c r="I189" s="168"/>
      <c r="J189" s="168"/>
      <c r="K189" s="168"/>
    </row>
    <row r="190" spans="1:11">
      <c r="A190" s="165">
        <v>187</v>
      </c>
      <c r="B190" s="167"/>
      <c r="C190" s="168"/>
      <c r="D190" s="168"/>
      <c r="E190" s="168"/>
      <c r="F190" s="168"/>
      <c r="G190" s="168"/>
      <c r="H190" s="168"/>
      <c r="I190" s="168"/>
      <c r="J190" s="168"/>
      <c r="K190" s="168"/>
    </row>
    <row r="191" spans="1:11">
      <c r="A191" s="165">
        <v>188</v>
      </c>
      <c r="B191" s="167"/>
      <c r="C191" s="168"/>
      <c r="D191" s="168"/>
      <c r="E191" s="168"/>
      <c r="F191" s="168"/>
      <c r="G191" s="168"/>
      <c r="H191" s="168"/>
      <c r="I191" s="168"/>
      <c r="J191" s="168"/>
      <c r="K191" s="168"/>
    </row>
    <row r="192" spans="1:11">
      <c r="A192" s="165">
        <v>189</v>
      </c>
      <c r="B192" s="167"/>
      <c r="C192" s="168"/>
      <c r="D192" s="168"/>
      <c r="E192" s="168"/>
      <c r="F192" s="168"/>
      <c r="G192" s="168"/>
      <c r="H192" s="168"/>
      <c r="I192" s="168"/>
      <c r="J192" s="168"/>
      <c r="K192" s="168"/>
    </row>
    <row r="193" spans="1:11">
      <c r="A193" s="165">
        <v>190</v>
      </c>
      <c r="B193" s="167"/>
      <c r="C193" s="168"/>
      <c r="D193" s="168"/>
      <c r="E193" s="168"/>
      <c r="F193" s="168"/>
      <c r="G193" s="168"/>
      <c r="H193" s="168"/>
      <c r="I193" s="168"/>
      <c r="J193" s="168"/>
      <c r="K193" s="168"/>
    </row>
    <row r="194" spans="1:11">
      <c r="A194" s="165">
        <v>191</v>
      </c>
      <c r="B194" s="167"/>
      <c r="C194" s="168"/>
      <c r="D194" s="168"/>
      <c r="E194" s="168"/>
      <c r="F194" s="168"/>
      <c r="G194" s="168"/>
      <c r="H194" s="168"/>
      <c r="I194" s="168"/>
      <c r="J194" s="168"/>
      <c r="K194" s="168"/>
    </row>
    <row r="195" spans="1:11">
      <c r="A195" s="165">
        <v>192</v>
      </c>
      <c r="B195" s="167"/>
      <c r="C195" s="168"/>
      <c r="D195" s="168"/>
      <c r="E195" s="168"/>
      <c r="F195" s="168"/>
      <c r="G195" s="168"/>
      <c r="H195" s="168"/>
      <c r="I195" s="168"/>
      <c r="J195" s="168"/>
      <c r="K195" s="168"/>
    </row>
    <row r="196" spans="1:11">
      <c r="A196" s="165">
        <v>193</v>
      </c>
      <c r="B196" s="167"/>
      <c r="C196" s="168"/>
      <c r="D196" s="168"/>
      <c r="E196" s="168"/>
      <c r="F196" s="168"/>
      <c r="G196" s="168"/>
      <c r="H196" s="168"/>
      <c r="I196" s="168"/>
      <c r="J196" s="168"/>
      <c r="K196" s="168"/>
    </row>
    <row r="197" spans="1:11">
      <c r="A197" s="165">
        <v>194</v>
      </c>
      <c r="B197" s="167"/>
      <c r="C197" s="168"/>
      <c r="D197" s="168"/>
      <c r="E197" s="168"/>
      <c r="F197" s="168"/>
      <c r="G197" s="168"/>
      <c r="H197" s="168"/>
      <c r="I197" s="168"/>
      <c r="J197" s="168"/>
      <c r="K197" s="168"/>
    </row>
    <row r="198" spans="1:11">
      <c r="A198" s="165">
        <v>195</v>
      </c>
      <c r="B198" s="167"/>
      <c r="C198" s="168"/>
      <c r="D198" s="168"/>
      <c r="E198" s="168"/>
      <c r="F198" s="168"/>
      <c r="G198" s="168"/>
      <c r="H198" s="168"/>
      <c r="I198" s="168"/>
      <c r="J198" s="168"/>
      <c r="K198" s="168"/>
    </row>
    <row r="199" spans="1:11">
      <c r="A199" s="165">
        <v>196</v>
      </c>
      <c r="B199" s="167"/>
      <c r="C199" s="168"/>
      <c r="D199" s="168"/>
      <c r="E199" s="168"/>
      <c r="F199" s="168"/>
      <c r="G199" s="168"/>
      <c r="H199" s="168"/>
      <c r="I199" s="168"/>
      <c r="J199" s="168"/>
      <c r="K199" s="168"/>
    </row>
    <row r="200" spans="1:11">
      <c r="A200" s="165">
        <v>197</v>
      </c>
      <c r="B200" s="167"/>
      <c r="C200" s="168"/>
      <c r="D200" s="168"/>
      <c r="E200" s="168"/>
      <c r="F200" s="168"/>
      <c r="G200" s="168"/>
      <c r="H200" s="168"/>
      <c r="I200" s="168"/>
      <c r="J200" s="168"/>
      <c r="K200" s="168"/>
    </row>
    <row r="201" spans="1:11">
      <c r="A201" s="165">
        <v>198</v>
      </c>
      <c r="B201" s="167"/>
      <c r="C201" s="168"/>
      <c r="D201" s="168"/>
      <c r="E201" s="168"/>
      <c r="F201" s="168"/>
      <c r="G201" s="168"/>
      <c r="H201" s="168"/>
      <c r="I201" s="168"/>
      <c r="J201" s="168"/>
      <c r="K201" s="168"/>
    </row>
    <row r="202" spans="1:11">
      <c r="A202" s="165">
        <v>199</v>
      </c>
      <c r="B202" s="167"/>
      <c r="C202" s="168"/>
      <c r="D202" s="168"/>
      <c r="E202" s="168"/>
      <c r="F202" s="168"/>
      <c r="G202" s="168"/>
      <c r="H202" s="168"/>
      <c r="I202" s="168"/>
      <c r="J202" s="168"/>
      <c r="K202" s="168"/>
    </row>
    <row r="203" spans="1:11">
      <c r="A203" s="165">
        <v>200</v>
      </c>
      <c r="B203" s="167"/>
      <c r="C203" s="168"/>
      <c r="D203" s="168"/>
      <c r="E203" s="168"/>
      <c r="F203" s="168"/>
      <c r="G203" s="168"/>
      <c r="H203" s="168"/>
      <c r="I203" s="168"/>
      <c r="J203" s="168"/>
      <c r="K203" s="168"/>
    </row>
    <row r="204" spans="1:11">
      <c r="A204" s="165">
        <v>201</v>
      </c>
      <c r="B204" s="167"/>
      <c r="C204" s="168"/>
      <c r="D204" s="168"/>
      <c r="E204" s="168"/>
      <c r="F204" s="168"/>
      <c r="G204" s="168"/>
      <c r="H204" s="168"/>
      <c r="I204" s="168"/>
      <c r="J204" s="168"/>
      <c r="K204" s="168"/>
    </row>
    <row r="205" spans="1:11">
      <c r="A205" s="165">
        <v>202</v>
      </c>
      <c r="B205" s="167"/>
      <c r="C205" s="168"/>
      <c r="D205" s="168"/>
      <c r="E205" s="168"/>
      <c r="F205" s="168"/>
      <c r="G205" s="168"/>
      <c r="H205" s="168"/>
      <c r="I205" s="168"/>
      <c r="J205" s="168"/>
      <c r="K205" s="168"/>
    </row>
    <row r="206" spans="1:11">
      <c r="A206" s="165">
        <v>203</v>
      </c>
      <c r="B206" s="167"/>
      <c r="C206" s="168"/>
      <c r="D206" s="168"/>
      <c r="E206" s="168"/>
      <c r="F206" s="168"/>
      <c r="G206" s="168"/>
      <c r="H206" s="168"/>
      <c r="I206" s="168"/>
      <c r="J206" s="168"/>
      <c r="K206" s="168"/>
    </row>
    <row r="207" spans="1:11">
      <c r="A207" s="165">
        <v>204</v>
      </c>
      <c r="B207" s="167"/>
      <c r="C207" s="168"/>
      <c r="D207" s="168"/>
      <c r="E207" s="168"/>
      <c r="F207" s="168"/>
      <c r="G207" s="168"/>
      <c r="H207" s="168"/>
      <c r="I207" s="168"/>
      <c r="J207" s="168"/>
      <c r="K207" s="168"/>
    </row>
    <row r="208" spans="1:11">
      <c r="A208" s="165">
        <v>205</v>
      </c>
      <c r="B208" s="167"/>
      <c r="C208" s="168"/>
      <c r="D208" s="168"/>
      <c r="E208" s="168"/>
      <c r="F208" s="168"/>
      <c r="G208" s="168"/>
      <c r="H208" s="168"/>
      <c r="I208" s="168"/>
      <c r="J208" s="168"/>
      <c r="K208" s="168"/>
    </row>
    <row r="209" spans="1:11">
      <c r="A209" s="165">
        <v>206</v>
      </c>
      <c r="B209" s="167"/>
      <c r="C209" s="168"/>
      <c r="D209" s="168"/>
      <c r="E209" s="168"/>
      <c r="F209" s="168"/>
      <c r="G209" s="168"/>
      <c r="H209" s="168"/>
      <c r="I209" s="168"/>
      <c r="J209" s="168"/>
      <c r="K209" s="168"/>
    </row>
    <row r="210" spans="1:11">
      <c r="A210" s="165">
        <v>207</v>
      </c>
      <c r="B210" s="167"/>
      <c r="C210" s="168"/>
      <c r="D210" s="168"/>
      <c r="E210" s="168"/>
      <c r="F210" s="168"/>
      <c r="G210" s="168"/>
      <c r="H210" s="168"/>
      <c r="I210" s="168"/>
      <c r="J210" s="168"/>
      <c r="K210" s="168"/>
    </row>
    <row r="211" spans="1:11">
      <c r="A211" s="165">
        <v>208</v>
      </c>
      <c r="B211" s="167"/>
      <c r="C211" s="168"/>
      <c r="D211" s="168"/>
      <c r="E211" s="168"/>
      <c r="F211" s="168"/>
      <c r="G211" s="168"/>
      <c r="H211" s="168"/>
      <c r="I211" s="168"/>
      <c r="J211" s="168"/>
      <c r="K211" s="168"/>
    </row>
    <row r="212" spans="1:11">
      <c r="A212" s="165">
        <v>209</v>
      </c>
      <c r="B212" s="167"/>
      <c r="C212" s="168"/>
      <c r="D212" s="168"/>
      <c r="E212" s="168"/>
      <c r="F212" s="168"/>
      <c r="G212" s="168"/>
      <c r="H212" s="168"/>
      <c r="I212" s="168"/>
      <c r="J212" s="168"/>
      <c r="K212" s="168"/>
    </row>
    <row r="213" spans="1:11">
      <c r="A213" s="165">
        <v>210</v>
      </c>
      <c r="B213" s="167"/>
      <c r="C213" s="168"/>
      <c r="D213" s="168"/>
      <c r="E213" s="168"/>
      <c r="F213" s="168"/>
      <c r="G213" s="168"/>
      <c r="H213" s="168"/>
      <c r="I213" s="168"/>
      <c r="J213" s="168"/>
      <c r="K213" s="168"/>
    </row>
    <row r="214" spans="1:11">
      <c r="A214" s="165">
        <v>211</v>
      </c>
      <c r="B214" s="167"/>
      <c r="C214" s="168"/>
      <c r="D214" s="168"/>
      <c r="E214" s="168"/>
      <c r="F214" s="168"/>
      <c r="G214" s="168"/>
      <c r="H214" s="168"/>
      <c r="I214" s="168"/>
      <c r="J214" s="168"/>
      <c r="K214" s="168"/>
    </row>
    <row r="215" spans="1:11">
      <c r="A215" s="165">
        <v>212</v>
      </c>
      <c r="B215" s="167"/>
      <c r="C215" s="168"/>
      <c r="D215" s="168"/>
      <c r="E215" s="168"/>
      <c r="F215" s="168"/>
      <c r="G215" s="168"/>
      <c r="H215" s="168"/>
      <c r="I215" s="168"/>
      <c r="J215" s="168"/>
      <c r="K215" s="168"/>
    </row>
    <row r="216" spans="1:11">
      <c r="A216" s="165">
        <v>213</v>
      </c>
      <c r="B216" s="167"/>
      <c r="C216" s="168"/>
      <c r="D216" s="168"/>
      <c r="E216" s="168"/>
      <c r="F216" s="168"/>
      <c r="G216" s="168"/>
      <c r="H216" s="168"/>
      <c r="I216" s="168"/>
      <c r="J216" s="168"/>
      <c r="K216" s="168"/>
    </row>
    <row r="217" spans="1:11">
      <c r="A217" s="165">
        <v>214</v>
      </c>
      <c r="B217" s="167"/>
      <c r="C217" s="168"/>
      <c r="D217" s="168"/>
      <c r="E217" s="168"/>
      <c r="F217" s="168"/>
      <c r="G217" s="168"/>
      <c r="H217" s="168"/>
      <c r="I217" s="168"/>
      <c r="J217" s="168"/>
      <c r="K217" s="168"/>
    </row>
    <row r="218" spans="1:11">
      <c r="A218" s="165">
        <v>215</v>
      </c>
      <c r="B218" s="167"/>
      <c r="C218" s="168"/>
      <c r="D218" s="168"/>
      <c r="E218" s="168"/>
      <c r="F218" s="168"/>
      <c r="G218" s="168"/>
      <c r="H218" s="168"/>
      <c r="I218" s="168"/>
      <c r="J218" s="168"/>
      <c r="K218" s="168"/>
    </row>
    <row r="219" spans="1:11">
      <c r="A219" s="165">
        <v>216</v>
      </c>
      <c r="B219" s="167"/>
      <c r="C219" s="168"/>
      <c r="D219" s="168"/>
      <c r="E219" s="168"/>
      <c r="F219" s="168"/>
      <c r="G219" s="168"/>
      <c r="H219" s="168"/>
      <c r="I219" s="168"/>
      <c r="J219" s="168"/>
      <c r="K219" s="168"/>
    </row>
    <row r="220" spans="1:11">
      <c r="A220" s="165">
        <v>217</v>
      </c>
      <c r="B220" s="167"/>
      <c r="C220" s="168"/>
      <c r="D220" s="168"/>
      <c r="E220" s="168"/>
      <c r="F220" s="168"/>
      <c r="G220" s="168"/>
      <c r="H220" s="168"/>
      <c r="I220" s="168"/>
      <c r="J220" s="168"/>
      <c r="K220" s="168"/>
    </row>
    <row r="221" spans="1:11">
      <c r="A221" s="165">
        <v>218</v>
      </c>
      <c r="B221" s="167"/>
      <c r="C221" s="168"/>
      <c r="D221" s="168"/>
      <c r="E221" s="168"/>
      <c r="F221" s="168"/>
      <c r="G221" s="168"/>
      <c r="H221" s="168"/>
      <c r="I221" s="168"/>
      <c r="J221" s="168"/>
      <c r="K221" s="168"/>
    </row>
    <row r="222" spans="1:11">
      <c r="A222" s="165">
        <v>219</v>
      </c>
      <c r="B222" s="167"/>
      <c r="C222" s="168"/>
      <c r="D222" s="168"/>
      <c r="E222" s="168"/>
      <c r="F222" s="168"/>
      <c r="G222" s="168"/>
      <c r="H222" s="168"/>
      <c r="I222" s="168"/>
      <c r="J222" s="168"/>
      <c r="K222" s="168"/>
    </row>
    <row r="223" spans="1:11">
      <c r="A223" s="165">
        <v>220</v>
      </c>
      <c r="B223" s="167"/>
      <c r="C223" s="168"/>
      <c r="D223" s="168"/>
      <c r="E223" s="168"/>
      <c r="F223" s="168"/>
      <c r="G223" s="168"/>
      <c r="H223" s="168"/>
      <c r="I223" s="168"/>
      <c r="J223" s="168"/>
      <c r="K223" s="168"/>
    </row>
    <row r="224" spans="1:11">
      <c r="A224" s="165">
        <v>221</v>
      </c>
      <c r="B224" s="167"/>
      <c r="C224" s="168"/>
      <c r="D224" s="168"/>
      <c r="E224" s="168"/>
      <c r="F224" s="168"/>
      <c r="G224" s="168"/>
      <c r="H224" s="168"/>
      <c r="I224" s="168"/>
      <c r="J224" s="168"/>
      <c r="K224" s="168"/>
    </row>
    <row r="225" spans="1:11">
      <c r="A225" s="165">
        <v>222</v>
      </c>
      <c r="B225" s="167"/>
      <c r="C225" s="168"/>
      <c r="D225" s="168"/>
      <c r="E225" s="168"/>
      <c r="F225" s="168"/>
      <c r="G225" s="168"/>
      <c r="H225" s="168"/>
      <c r="I225" s="168"/>
      <c r="J225" s="168"/>
      <c r="K225" s="168"/>
    </row>
    <row r="226" spans="1:11">
      <c r="A226" s="165">
        <v>223</v>
      </c>
      <c r="B226" s="167"/>
      <c r="C226" s="168"/>
      <c r="D226" s="168"/>
      <c r="E226" s="168"/>
      <c r="F226" s="168"/>
      <c r="G226" s="168"/>
      <c r="H226" s="168"/>
      <c r="I226" s="168"/>
      <c r="J226" s="168"/>
      <c r="K226" s="168"/>
    </row>
    <row r="227" spans="1:11">
      <c r="A227" s="165">
        <v>224</v>
      </c>
      <c r="B227" s="167"/>
      <c r="C227" s="168"/>
      <c r="D227" s="168"/>
      <c r="E227" s="168"/>
      <c r="F227" s="168"/>
      <c r="G227" s="168"/>
      <c r="H227" s="168"/>
      <c r="I227" s="168"/>
      <c r="J227" s="168"/>
      <c r="K227" s="168"/>
    </row>
    <row r="228" spans="1:11">
      <c r="A228" s="165">
        <v>225</v>
      </c>
      <c r="B228" s="167"/>
      <c r="C228" s="168"/>
      <c r="D228" s="168"/>
      <c r="E228" s="168"/>
      <c r="F228" s="168"/>
      <c r="G228" s="168"/>
      <c r="H228" s="168"/>
      <c r="I228" s="168"/>
      <c r="J228" s="168"/>
      <c r="K228" s="168"/>
    </row>
    <row r="229" spans="1:11">
      <c r="A229" s="165">
        <v>226</v>
      </c>
      <c r="B229" s="167"/>
      <c r="C229" s="168"/>
      <c r="D229" s="168"/>
      <c r="E229" s="168"/>
      <c r="F229" s="168"/>
      <c r="G229" s="168"/>
      <c r="H229" s="168"/>
      <c r="I229" s="168"/>
      <c r="J229" s="168"/>
      <c r="K229" s="168"/>
    </row>
    <row r="230" spans="1:11">
      <c r="A230" s="165">
        <v>227</v>
      </c>
      <c r="B230" s="167"/>
      <c r="C230" s="168"/>
      <c r="D230" s="168"/>
      <c r="E230" s="168"/>
      <c r="F230" s="168"/>
      <c r="G230" s="168"/>
      <c r="H230" s="168"/>
      <c r="I230" s="168"/>
      <c r="J230" s="168"/>
      <c r="K230" s="168"/>
    </row>
    <row r="231" spans="1:11">
      <c r="A231" s="165">
        <v>228</v>
      </c>
      <c r="B231" s="167"/>
      <c r="C231" s="168"/>
      <c r="D231" s="168"/>
      <c r="E231" s="168"/>
      <c r="F231" s="168"/>
      <c r="G231" s="168"/>
      <c r="H231" s="168"/>
      <c r="I231" s="168"/>
      <c r="J231" s="168"/>
      <c r="K231" s="168"/>
    </row>
    <row r="232" spans="1:11">
      <c r="A232" s="165">
        <v>229</v>
      </c>
      <c r="B232" s="167"/>
      <c r="C232" s="168"/>
      <c r="D232" s="168"/>
      <c r="E232" s="168"/>
      <c r="F232" s="168"/>
      <c r="G232" s="168"/>
      <c r="H232" s="168"/>
      <c r="I232" s="168"/>
      <c r="J232" s="168"/>
      <c r="K232" s="168"/>
    </row>
    <row r="233" spans="1:11">
      <c r="B233" s="167"/>
      <c r="C233" s="168"/>
      <c r="D233" s="168"/>
      <c r="E233" s="168"/>
      <c r="F233" s="168"/>
      <c r="G233" s="168"/>
      <c r="H233" s="168"/>
      <c r="I233" s="168"/>
      <c r="J233" s="168"/>
      <c r="K233" s="168"/>
    </row>
    <row r="234" spans="1:11">
      <c r="A234" s="165"/>
      <c r="B234" s="167"/>
      <c r="C234" s="168"/>
      <c r="D234" s="168"/>
      <c r="E234" s="168"/>
      <c r="F234" s="168"/>
      <c r="G234" s="168"/>
      <c r="H234" s="168"/>
      <c r="I234" s="168"/>
      <c r="J234" s="168"/>
      <c r="K234" s="168"/>
    </row>
  </sheetData>
  <pageMargins left="0.70866141732283472" right="0.70866141732283472" top="0.74803149606299213" bottom="0.74803149606299213" header="0.31496062992125984" footer="0.31496062992125984"/>
  <pageSetup paperSize="8" scale="50" fitToHeight="0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499984740745262"/>
  </sheetPr>
  <dimension ref="A1:F13"/>
  <sheetViews>
    <sheetView showGridLines="0" showRowColHeaders="0" workbookViewId="0">
      <selection activeCell="D10" sqref="D10"/>
    </sheetView>
  </sheetViews>
  <sheetFormatPr baseColWidth="10" defaultColWidth="9.1640625" defaultRowHeight="13"/>
  <cols>
    <col min="1" max="1" width="2.6640625" customWidth="1"/>
    <col min="2" max="2" width="11.5" customWidth="1"/>
    <col min="3" max="3" width="7.5" customWidth="1"/>
    <col min="4" max="4" width="47.6640625" customWidth="1"/>
    <col min="5" max="5" width="19.83203125" customWidth="1"/>
    <col min="6" max="6" width="4.1640625" customWidth="1"/>
  </cols>
  <sheetData>
    <row r="1" spans="1:6" ht="18">
      <c r="B1" s="358" t="s">
        <v>169</v>
      </c>
      <c r="C1" s="358"/>
      <c r="D1" s="358"/>
      <c r="E1" s="358"/>
    </row>
    <row r="2" spans="1:6">
      <c r="B2" s="110"/>
      <c r="C2" s="110"/>
      <c r="D2" s="110"/>
      <c r="E2" s="110"/>
    </row>
    <row r="3" spans="1:6" ht="14">
      <c r="B3" s="111" t="s">
        <v>165</v>
      </c>
      <c r="C3" s="112" t="s">
        <v>166</v>
      </c>
      <c r="D3" s="112" t="s">
        <v>167</v>
      </c>
      <c r="E3" s="112" t="s">
        <v>168</v>
      </c>
    </row>
    <row r="4" spans="1:6" ht="14">
      <c r="B4" s="113">
        <v>42011</v>
      </c>
      <c r="C4" s="114">
        <v>1</v>
      </c>
      <c r="D4" s="186" t="s">
        <v>121</v>
      </c>
      <c r="E4" s="115" t="s">
        <v>170</v>
      </c>
    </row>
    <row r="5" spans="1:6" ht="14">
      <c r="B5" s="113">
        <v>42012</v>
      </c>
      <c r="C5" s="114">
        <v>1.1000000000000001</v>
      </c>
      <c r="D5" s="186" t="s">
        <v>172</v>
      </c>
      <c r="E5" s="115" t="s">
        <v>170</v>
      </c>
    </row>
    <row r="6" spans="1:6" ht="14">
      <c r="B6" s="116">
        <v>42024</v>
      </c>
      <c r="C6" s="114">
        <v>1.2</v>
      </c>
      <c r="D6" s="186" t="s">
        <v>173</v>
      </c>
      <c r="E6" s="115" t="s">
        <v>170</v>
      </c>
    </row>
    <row r="7" spans="1:6" ht="42">
      <c r="B7" s="117">
        <v>42093</v>
      </c>
      <c r="C7" s="118">
        <v>1.3</v>
      </c>
      <c r="D7" s="187" t="s">
        <v>752</v>
      </c>
      <c r="E7" s="115" t="s">
        <v>170</v>
      </c>
    </row>
    <row r="8" spans="1:6" ht="14">
      <c r="B8" s="117">
        <v>42556</v>
      </c>
      <c r="C8" s="119">
        <v>1.4</v>
      </c>
      <c r="D8" s="187" t="s">
        <v>755</v>
      </c>
      <c r="E8" s="115" t="s">
        <v>170</v>
      </c>
    </row>
    <row r="9" spans="1:6" ht="14">
      <c r="B9" s="117">
        <v>43523</v>
      </c>
      <c r="C9" s="119">
        <v>1.5</v>
      </c>
      <c r="D9" s="187" t="s">
        <v>796</v>
      </c>
      <c r="E9" s="119" t="s">
        <v>797</v>
      </c>
    </row>
    <row r="10" spans="1:6" ht="28">
      <c r="B10" s="117">
        <v>43819</v>
      </c>
      <c r="C10" s="119">
        <v>1.6</v>
      </c>
      <c r="D10" s="187" t="s">
        <v>798</v>
      </c>
      <c r="E10" s="119" t="s">
        <v>797</v>
      </c>
    </row>
    <row r="11" spans="1:6" ht="14">
      <c r="B11" s="117">
        <v>43854</v>
      </c>
      <c r="C11" s="119">
        <v>1.7</v>
      </c>
      <c r="D11" s="187" t="s">
        <v>799</v>
      </c>
      <c r="E11" s="119" t="s">
        <v>797</v>
      </c>
    </row>
    <row r="13" spans="1:6" ht="30" customHeight="1" thickBot="1">
      <c r="A13" s="281"/>
      <c r="B13" s="281"/>
      <c r="C13" s="281"/>
      <c r="D13" s="281"/>
      <c r="E13" s="281"/>
      <c r="F13" s="28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Product xmlns="75a1a0ef-5233-4f0b-aa70-9be065c71c61">14</Product>
    <Deliverables xmlns="75a1a0ef-5233-4f0b-aa70-9be065c71c61">18</Deliverable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054DA5952D93468C2E8B02B44C661C" ma:contentTypeVersion="4" ma:contentTypeDescription="Create a new document." ma:contentTypeScope="" ma:versionID="d669c6ace3373da81a614c62e67f6c74">
  <xsd:schema xmlns:xsd="http://www.w3.org/2001/XMLSchema" xmlns:p="http://schemas.microsoft.com/office/2006/metadata/properties" xmlns:ns2="75a1a0ef-5233-4f0b-aa70-9be065c71c61" targetNamespace="http://schemas.microsoft.com/office/2006/metadata/properties" ma:root="true" ma:fieldsID="f84e72841a1a5cf49527aad5166ff918" ns2:_="">
    <xsd:import namespace="75a1a0ef-5233-4f0b-aa70-9be065c71c61"/>
    <xsd:element name="properties">
      <xsd:complexType>
        <xsd:sequence>
          <xsd:element name="documentManagement">
            <xsd:complexType>
              <xsd:all>
                <xsd:element ref="ns2:Product"/>
                <xsd:element ref="ns2:Deliverables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5a1a0ef-5233-4f0b-aa70-9be065c71c61" elementFormDefault="qualified">
    <xsd:import namespace="http://schemas.microsoft.com/office/2006/documentManagement/types"/>
    <xsd:element name="Product" ma:index="8" ma:displayName="Product" ma:list="{4cd6a37a-3b35-4a04-ae11-5695c8df0150}" ma:internalName="Product" ma:showField="Title">
      <xsd:simpleType>
        <xsd:restriction base="dms:Lookup"/>
      </xsd:simpleType>
    </xsd:element>
    <xsd:element name="Deliverables" ma:index="9" ma:displayName="Deliverables" ma:list="{c125ffd8-976f-4125-985e-d0154c02365d}" ma:internalName="Deliverables" ma:showField="Title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1461B8-B028-4789-B0CA-0810CA35CE99}">
  <ds:schemaRefs>
    <ds:schemaRef ds:uri="75a1a0ef-5233-4f0b-aa70-9be065c71c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6770115-E2A4-4A45-B4C1-931AB5B92F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a1a0ef-5233-4f0b-aa70-9be065c71c6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77C195B5-1230-448A-85D5-38D14E286B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Input</vt:lpstr>
      <vt:lpstr>Result</vt:lpstr>
      <vt:lpstr>Table</vt:lpstr>
      <vt:lpstr>backdata</vt:lpstr>
      <vt:lpstr>images</vt:lpstr>
      <vt:lpstr>monthly</vt:lpstr>
      <vt:lpstr>Launguage</vt:lpstr>
      <vt:lpstr>Update history</vt:lpstr>
      <vt:lpstr>Cottage</vt:lpstr>
      <vt:lpstr>Input!Druckbereich</vt:lpstr>
      <vt:lpstr>Launguage!Druckbereich</vt:lpstr>
      <vt:lpstr>Result!Druckbereich</vt:lpstr>
      <vt:lpstr>'Update history'!Druckbereich</vt:lpstr>
      <vt:lpstr>Launguage!Drucktitel</vt:lpstr>
      <vt:lpstr>No.5</vt:lpstr>
      <vt:lpstr>ProductCottage</vt:lpstr>
      <vt:lpstr>ProductCottage_A0</vt:lpstr>
      <vt:lpstr>ProductNo.5</vt:lpstr>
      <vt:lpstr>ProductNo.5_A0</vt:lpstr>
      <vt:lpstr>RefGroesse</vt:lpstr>
      <vt:lpstr>RefGroesseWahl</vt:lpstr>
      <vt:lpstr>RefPic</vt:lpstr>
    </vt:vector>
  </TitlesOfParts>
  <Company>Océ Technologies B.V.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LFP ROI Calculator</dc:title>
  <dc:creator>Hirakawa, H. - Hiroyuki -</dc:creator>
  <cp:lastModifiedBy>Microsoft Office User</cp:lastModifiedBy>
  <cp:lastPrinted>2020-01-29T09:41:35Z</cp:lastPrinted>
  <dcterms:created xsi:type="dcterms:W3CDTF">2010-10-17T09:00:09Z</dcterms:created>
  <dcterms:modified xsi:type="dcterms:W3CDTF">2020-01-30T08:36:36Z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0x01010016054DA5952D93468C2E8B02B44C661C</vt:lpwstr>
  </property>
</Properties>
</file>